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PKP\LAPORAN DINAS 2024\PKP TW IV 2024\"/>
    </mc:Choice>
  </mc:AlternateContent>
  <xr:revisionPtr revIDLastSave="0" documentId="13_ncr:1_{306C0398-927F-4B15-9242-76546C61E483}" xr6:coauthVersionLast="47" xr6:coauthVersionMax="47" xr10:uidLastSave="{00000000-0000-0000-0000-000000000000}"/>
  <bookViews>
    <workbookView xWindow="-110" yWindow="-110" windowWidth="19420" windowHeight="11020" firstSheet="1" activeTab="1" xr2:uid="{00000000-000D-0000-FFFF-FFFF00000000}"/>
  </bookViews>
  <sheets>
    <sheet name="Instrumen Admen 24" sheetId="1" r:id="rId1"/>
    <sheet name="Instrumen UKM Esensial &amp; Perkes" sheetId="2" r:id="rId2"/>
    <sheet name="Instrumen UKM Pengembangan" sheetId="3" r:id="rId3"/>
    <sheet name="Instrumen UKP" sheetId="4" r:id="rId4"/>
    <sheet name="Instrumen Mutu" sheetId="5" r:id="rId5"/>
    <sheet name="REKAP" sheetId="6" r:id="rId6"/>
  </sheets>
  <definedNames>
    <definedName name="_xlnm.Print_Area" localSheetId="0">'Instrumen Admen 24'!$A$1:$H$53</definedName>
    <definedName name="_xlnm.Print_Area" localSheetId="1">'Instrumen UKM Esensial &amp; Perkes'!$A$1:$O$217</definedName>
    <definedName name="_xlnm.Print_Area" localSheetId="3">'Instrumen UKP'!$A$1:$N$66</definedName>
  </definedNames>
  <calcPr calcId="191029"/>
</workbook>
</file>

<file path=xl/calcChain.xml><?xml version="1.0" encoding="utf-8"?>
<calcChain xmlns="http://schemas.openxmlformats.org/spreadsheetml/2006/main">
  <c r="K7" i="4" l="1"/>
  <c r="J11" i="4" l="1"/>
  <c r="J10" i="4"/>
  <c r="G162" i="2" l="1"/>
  <c r="J162" i="2" s="1"/>
  <c r="J144" i="2"/>
  <c r="I115" i="2"/>
  <c r="J115" i="2"/>
  <c r="J89" i="2" l="1"/>
  <c r="J79" i="2"/>
  <c r="H14" i="5" l="1"/>
  <c r="J30" i="4"/>
  <c r="F41" i="4" l="1"/>
  <c r="F34" i="4"/>
  <c r="F11" i="4"/>
  <c r="K24" i="3"/>
  <c r="K25" i="3"/>
  <c r="K22" i="3"/>
  <c r="I22" i="3"/>
  <c r="I25" i="3"/>
  <c r="I23" i="3"/>
  <c r="K33" i="3"/>
  <c r="K18" i="3"/>
  <c r="J166" i="2"/>
  <c r="J167" i="2"/>
  <c r="J95" i="2"/>
  <c r="J83" i="2"/>
  <c r="J84" i="2"/>
  <c r="G83" i="2"/>
  <c r="G84" i="2"/>
  <c r="G85" i="2"/>
  <c r="J85" i="2" s="1"/>
  <c r="G81" i="2"/>
  <c r="J81" i="2" s="1"/>
  <c r="G82" i="2"/>
  <c r="J82" i="2" s="1"/>
  <c r="I33" i="3" l="1"/>
  <c r="I18" i="3"/>
  <c r="G21" i="2" l="1"/>
  <c r="G20" i="2"/>
  <c r="J20" i="2" s="1"/>
  <c r="H21" i="5" l="1"/>
  <c r="I24" i="3" l="1"/>
  <c r="V12" i="4" l="1"/>
  <c r="R12" i="4"/>
  <c r="H11" i="4" l="1"/>
  <c r="F33" i="4"/>
  <c r="F32" i="4"/>
  <c r="J32" i="4" s="1"/>
  <c r="G18" i="3" l="1"/>
  <c r="G30" i="2"/>
  <c r="G29" i="2"/>
  <c r="G28" i="2"/>
  <c r="G26" i="2"/>
  <c r="G25" i="2"/>
  <c r="G24" i="2"/>
  <c r="G23" i="2"/>
  <c r="G34" i="3"/>
  <c r="G33" i="3"/>
  <c r="G32" i="3"/>
  <c r="G29" i="3"/>
  <c r="I179" i="2"/>
  <c r="I177" i="2"/>
  <c r="I176" i="2"/>
  <c r="I174" i="2"/>
  <c r="I172" i="2"/>
  <c r="I170" i="2"/>
  <c r="I169" i="2"/>
  <c r="I167" i="2"/>
  <c r="I166" i="2"/>
  <c r="I165" i="2"/>
  <c r="G160" i="2"/>
  <c r="G161" i="2"/>
  <c r="G99" i="2"/>
  <c r="G101" i="2"/>
  <c r="J101" i="2" s="1"/>
  <c r="G184" i="2" l="1"/>
  <c r="G183" i="2"/>
  <c r="G182" i="2"/>
  <c r="G181" i="2"/>
  <c r="G179" i="2"/>
  <c r="J179" i="2" s="1"/>
  <c r="G177" i="2"/>
  <c r="J177" i="2" s="1"/>
  <c r="G176" i="2"/>
  <c r="J176" i="2" s="1"/>
  <c r="G174" i="2"/>
  <c r="J174" i="2" s="1"/>
  <c r="G172" i="2"/>
  <c r="J172" i="2" s="1"/>
  <c r="G170" i="2"/>
  <c r="J170" i="2" s="1"/>
  <c r="G169" i="2"/>
  <c r="J169" i="2" s="1"/>
  <c r="G167" i="2"/>
  <c r="G166" i="2"/>
  <c r="G165" i="2"/>
  <c r="J165" i="2" s="1"/>
  <c r="K164" i="2" s="1"/>
  <c r="G163" i="2"/>
  <c r="J163" i="2" s="1"/>
  <c r="J161" i="2"/>
  <c r="J160" i="2"/>
  <c r="G159" i="2"/>
  <c r="J159" i="2" s="1"/>
  <c r="G157" i="2"/>
  <c r="G155" i="2"/>
  <c r="G151" i="2"/>
  <c r="G124" i="2"/>
  <c r="J124" i="2" s="1"/>
  <c r="G123" i="2"/>
  <c r="J123" i="2" s="1"/>
  <c r="G122" i="2"/>
  <c r="J122" i="2" s="1"/>
  <c r="G121" i="2"/>
  <c r="G119" i="2"/>
  <c r="G118" i="2"/>
  <c r="J121" i="2"/>
  <c r="I124" i="2"/>
  <c r="I123" i="2"/>
  <c r="I122" i="2"/>
  <c r="I121" i="2"/>
  <c r="I79" i="2"/>
  <c r="J21" i="5"/>
  <c r="H47" i="1"/>
  <c r="H41" i="1"/>
  <c r="H36" i="1"/>
  <c r="H32" i="1"/>
  <c r="H25" i="1"/>
  <c r="H9" i="4"/>
  <c r="F9" i="4"/>
  <c r="H34" i="4"/>
  <c r="K168" i="2" l="1"/>
  <c r="K175" i="2"/>
  <c r="H48" i="1"/>
  <c r="G148" i="2"/>
  <c r="G147" i="2"/>
  <c r="G95" i="2"/>
  <c r="F9" i="5"/>
  <c r="F35" i="4"/>
  <c r="J34" i="4"/>
  <c r="F31" i="4"/>
  <c r="F30" i="4"/>
  <c r="F29" i="4"/>
  <c r="F28" i="4"/>
  <c r="F27" i="4"/>
  <c r="F26" i="4"/>
  <c r="F19" i="4" l="1"/>
  <c r="F10" i="4"/>
  <c r="I38" i="2" l="1"/>
  <c r="G38" i="2"/>
  <c r="J38" i="2" s="1"/>
  <c r="J157" i="2"/>
  <c r="K156" i="2" s="1"/>
  <c r="I163" i="2"/>
  <c r="I162" i="2"/>
  <c r="K158" i="2" s="1"/>
  <c r="I161" i="2"/>
  <c r="I160" i="2"/>
  <c r="I159" i="2"/>
  <c r="I157" i="2"/>
  <c r="K178" i="2"/>
  <c r="K173" i="2"/>
  <c r="K171" i="2"/>
  <c r="C11" i="6"/>
  <c r="I9" i="3"/>
  <c r="H41" i="4"/>
  <c r="J41" i="4" s="1"/>
  <c r="F13" i="4"/>
  <c r="H13" i="4"/>
  <c r="I181" i="2"/>
  <c r="I182" i="2"/>
  <c r="I20" i="3"/>
  <c r="K20" i="3"/>
  <c r="G17" i="3"/>
  <c r="I19" i="3"/>
  <c r="G19" i="3"/>
  <c r="K19" i="3" s="1"/>
  <c r="I16" i="3"/>
  <c r="G16" i="3"/>
  <c r="K16" i="3" s="1"/>
  <c r="L156" i="2" l="1"/>
  <c r="C52" i="6" s="1"/>
  <c r="L15" i="3"/>
  <c r="C9" i="6"/>
  <c r="I53" i="2"/>
  <c r="G53" i="2"/>
  <c r="J53" i="2" s="1"/>
  <c r="I52" i="2"/>
  <c r="G52" i="2"/>
  <c r="J52" i="2" s="1"/>
  <c r="I51" i="2"/>
  <c r="G51" i="2"/>
  <c r="J51" i="2" s="1"/>
  <c r="I49" i="2"/>
  <c r="G49" i="2"/>
  <c r="J49" i="2" s="1"/>
  <c r="I48" i="2"/>
  <c r="G48" i="2"/>
  <c r="J48" i="2" s="1"/>
  <c r="I47" i="2"/>
  <c r="G47" i="2"/>
  <c r="J47" i="2" s="1"/>
  <c r="I45" i="2"/>
  <c r="G45" i="2"/>
  <c r="J45" i="2" s="1"/>
  <c r="I44" i="2"/>
  <c r="G44" i="2"/>
  <c r="J44" i="2" s="1"/>
  <c r="I42" i="2"/>
  <c r="G42" i="2"/>
  <c r="J42" i="2" s="1"/>
  <c r="I41" i="2"/>
  <c r="G41" i="2"/>
  <c r="J41" i="2" s="1"/>
  <c r="I39" i="2"/>
  <c r="G39" i="2"/>
  <c r="J39" i="2" s="1"/>
  <c r="I37" i="2"/>
  <c r="G37" i="2"/>
  <c r="J37" i="2" s="1"/>
  <c r="I36" i="2"/>
  <c r="G36" i="2"/>
  <c r="J36" i="2" s="1"/>
  <c r="H17" i="4" l="1"/>
  <c r="F17" i="4"/>
  <c r="J17" i="4" s="1"/>
  <c r="H16" i="4"/>
  <c r="F16" i="4"/>
  <c r="J16" i="4" s="1"/>
  <c r="K15" i="4" s="1"/>
  <c r="H14" i="4"/>
  <c r="F14" i="4"/>
  <c r="J14" i="4" s="1"/>
  <c r="J13" i="4"/>
  <c r="K12" i="4" s="1"/>
  <c r="C65" i="6" l="1"/>
  <c r="C66" i="6"/>
  <c r="I145" i="2"/>
  <c r="G145" i="2"/>
  <c r="J145" i="2" s="1"/>
  <c r="G144" i="2"/>
  <c r="I143" i="2"/>
  <c r="G143" i="2"/>
  <c r="J143" i="2" s="1"/>
  <c r="I142" i="2"/>
  <c r="G142" i="2"/>
  <c r="J142" i="2" s="1"/>
  <c r="I141" i="2"/>
  <c r="G141" i="2"/>
  <c r="J141" i="2" s="1"/>
  <c r="I140" i="2"/>
  <c r="G140" i="2"/>
  <c r="J140" i="2" s="1"/>
  <c r="G138" i="2"/>
  <c r="G137" i="2"/>
  <c r="K136" i="2" s="1"/>
  <c r="C49" i="6" s="1"/>
  <c r="G135" i="2"/>
  <c r="G134" i="2"/>
  <c r="G133" i="2"/>
  <c r="G132" i="2"/>
  <c r="K131" i="2" s="1"/>
  <c r="C48" i="6" s="1"/>
  <c r="I130" i="2"/>
  <c r="G130" i="2"/>
  <c r="J130" i="2" s="1"/>
  <c r="I129" i="2"/>
  <c r="G129" i="2"/>
  <c r="J129" i="2" s="1"/>
  <c r="I127" i="2"/>
  <c r="G127" i="2"/>
  <c r="J127" i="2" s="1"/>
  <c r="I126" i="2"/>
  <c r="G126" i="2"/>
  <c r="J126" i="2" s="1"/>
  <c r="K120" i="2"/>
  <c r="I119" i="2"/>
  <c r="J119" i="2"/>
  <c r="I118" i="2"/>
  <c r="J118" i="2"/>
  <c r="I117" i="2"/>
  <c r="G117" i="2"/>
  <c r="J117" i="2" s="1"/>
  <c r="I116" i="2"/>
  <c r="G116" i="2"/>
  <c r="J116" i="2" s="1"/>
  <c r="G115" i="2"/>
  <c r="I114" i="2"/>
  <c r="G114" i="2"/>
  <c r="J114" i="2" s="1"/>
  <c r="I112" i="2"/>
  <c r="G112" i="2"/>
  <c r="J112" i="2" s="1"/>
  <c r="I111" i="2"/>
  <c r="G111" i="2"/>
  <c r="J111" i="2" s="1"/>
  <c r="I109" i="2"/>
  <c r="G109" i="2"/>
  <c r="J109" i="2" s="1"/>
  <c r="I108" i="2"/>
  <c r="G108" i="2"/>
  <c r="J108" i="2" s="1"/>
  <c r="I106" i="2"/>
  <c r="G106" i="2"/>
  <c r="J106" i="2" s="1"/>
  <c r="I105" i="2"/>
  <c r="G105" i="2"/>
  <c r="J105" i="2" s="1"/>
  <c r="I104" i="2"/>
  <c r="G104" i="2"/>
  <c r="J104" i="2" s="1"/>
  <c r="K113" i="2" l="1"/>
  <c r="C44" i="6" s="1"/>
  <c r="K125" i="2"/>
  <c r="C46" i="6" s="1"/>
  <c r="K128" i="2"/>
  <c r="C47" i="6" s="1"/>
  <c r="K110" i="2"/>
  <c r="C43" i="6" s="1"/>
  <c r="K107" i="2"/>
  <c r="C42" i="6" s="1"/>
  <c r="K103" i="2"/>
  <c r="C45" i="6"/>
  <c r="I60" i="2"/>
  <c r="G60" i="2"/>
  <c r="J60" i="2" s="1"/>
  <c r="I59" i="2"/>
  <c r="G59" i="2"/>
  <c r="J59" i="2" s="1"/>
  <c r="I58" i="2"/>
  <c r="G58" i="2"/>
  <c r="J58" i="2" s="1"/>
  <c r="I57" i="2"/>
  <c r="G57" i="2"/>
  <c r="J57" i="2" s="1"/>
  <c r="I56" i="2"/>
  <c r="G56" i="2"/>
  <c r="J56" i="2" s="1"/>
  <c r="I65" i="2"/>
  <c r="G65" i="2"/>
  <c r="J65" i="2" s="1"/>
  <c r="I64" i="2"/>
  <c r="G64" i="2"/>
  <c r="J64" i="2" s="1"/>
  <c r="I63" i="2"/>
  <c r="G63" i="2"/>
  <c r="J63" i="2" s="1"/>
  <c r="I62" i="2"/>
  <c r="G62" i="2"/>
  <c r="J62" i="2" s="1"/>
  <c r="I68" i="2"/>
  <c r="G68" i="2"/>
  <c r="J68" i="2" s="1"/>
  <c r="I67" i="2"/>
  <c r="G67" i="2"/>
  <c r="J67" i="2" s="1"/>
  <c r="I74" i="2"/>
  <c r="G74" i="2"/>
  <c r="J74" i="2" s="1"/>
  <c r="I73" i="2"/>
  <c r="G73" i="2"/>
  <c r="J73" i="2" s="1"/>
  <c r="I72" i="2"/>
  <c r="G72" i="2"/>
  <c r="J72" i="2" s="1"/>
  <c r="I71" i="2"/>
  <c r="G71" i="2"/>
  <c r="J71" i="2" s="1"/>
  <c r="I70" i="2"/>
  <c r="G70" i="2"/>
  <c r="J70" i="2" s="1"/>
  <c r="I77" i="2"/>
  <c r="G77" i="2"/>
  <c r="J77" i="2" s="1"/>
  <c r="I76" i="2"/>
  <c r="G76" i="2"/>
  <c r="J76" i="2" s="1"/>
  <c r="I85" i="2"/>
  <c r="I84" i="2"/>
  <c r="I83" i="2"/>
  <c r="I82" i="2"/>
  <c r="I81" i="2"/>
  <c r="I80" i="2"/>
  <c r="G80" i="2"/>
  <c r="J80" i="2" s="1"/>
  <c r="G79" i="2"/>
  <c r="I90" i="2"/>
  <c r="G90" i="2"/>
  <c r="J90" i="2" s="1"/>
  <c r="I89" i="2"/>
  <c r="G89" i="2"/>
  <c r="I88" i="2"/>
  <c r="G88" i="2"/>
  <c r="J88" i="2" s="1"/>
  <c r="I95" i="2"/>
  <c r="I94" i="2"/>
  <c r="G94" i="2"/>
  <c r="J94" i="2" s="1"/>
  <c r="I93" i="2"/>
  <c r="G93" i="2"/>
  <c r="J93" i="2" s="1"/>
  <c r="I92" i="2"/>
  <c r="G92" i="2"/>
  <c r="J92" i="2" s="1"/>
  <c r="I101" i="2"/>
  <c r="I100" i="2"/>
  <c r="G100" i="2"/>
  <c r="J100" i="2" s="1"/>
  <c r="I99" i="2"/>
  <c r="J99" i="2" s="1"/>
  <c r="I98" i="2"/>
  <c r="G98" i="2"/>
  <c r="J98" i="2" s="1"/>
  <c r="I97" i="2"/>
  <c r="G97" i="2"/>
  <c r="J97" i="2" s="1"/>
  <c r="C41" i="6" l="1"/>
  <c r="J181" i="2"/>
  <c r="J182" i="2" l="1"/>
  <c r="K180" i="2" s="1"/>
  <c r="I30" i="2"/>
  <c r="J30" i="2"/>
  <c r="I29" i="2"/>
  <c r="J29" i="2"/>
  <c r="I28" i="2"/>
  <c r="J28" i="2"/>
  <c r="I25" i="2"/>
  <c r="J25" i="2"/>
  <c r="I24" i="2"/>
  <c r="J24" i="2"/>
  <c r="I23" i="2"/>
  <c r="J23" i="2"/>
  <c r="I21" i="2"/>
  <c r="J21" i="2"/>
  <c r="I20" i="2"/>
  <c r="I19" i="2"/>
  <c r="G19" i="2"/>
  <c r="J19" i="2" s="1"/>
  <c r="I13" i="2"/>
  <c r="G13" i="2"/>
  <c r="J13" i="2" s="1"/>
  <c r="I12" i="2"/>
  <c r="G12" i="2"/>
  <c r="J12" i="2" s="1"/>
  <c r="I11" i="2"/>
  <c r="G11" i="2"/>
  <c r="I15" i="2" s="1"/>
  <c r="I17" i="2" l="1"/>
  <c r="I16" i="2"/>
  <c r="J11" i="2"/>
  <c r="K10" i="2" s="1"/>
  <c r="G15" i="2"/>
  <c r="J15" i="2" s="1"/>
  <c r="C17" i="6" l="1"/>
  <c r="G17" i="2"/>
  <c r="J17" i="2" s="1"/>
  <c r="G16" i="2"/>
  <c r="J16" i="2" s="1"/>
  <c r="H20" i="4" l="1"/>
  <c r="F20" i="4"/>
  <c r="J20" i="4" s="1"/>
  <c r="H22" i="4"/>
  <c r="F22" i="4"/>
  <c r="J22" i="4" s="1"/>
  <c r="K21" i="4" s="1"/>
  <c r="C68" i="6" s="1"/>
  <c r="K20" i="5"/>
  <c r="C76" i="6" s="1"/>
  <c r="H19" i="5"/>
  <c r="F19" i="5"/>
  <c r="J19" i="5" s="1"/>
  <c r="H18" i="5"/>
  <c r="F18" i="5"/>
  <c r="J18" i="5" s="1"/>
  <c r="H17" i="5"/>
  <c r="F17" i="5"/>
  <c r="J17" i="5" s="1"/>
  <c r="H16" i="5"/>
  <c r="F16" i="5"/>
  <c r="J16" i="5" s="1"/>
  <c r="K15" i="5" l="1"/>
  <c r="C75" i="6" s="1"/>
  <c r="J9" i="4"/>
  <c r="H9" i="5" l="1"/>
  <c r="F12" i="5"/>
  <c r="J12" i="5" s="1"/>
  <c r="F11" i="5"/>
  <c r="J11" i="5" s="1"/>
  <c r="F10" i="5"/>
  <c r="J10" i="5" s="1"/>
  <c r="J9" i="5"/>
  <c r="K32" i="3"/>
  <c r="K34" i="3"/>
  <c r="H10" i="5"/>
  <c r="H11" i="5"/>
  <c r="H12" i="5"/>
  <c r="H13" i="5"/>
  <c r="H10" i="4"/>
  <c r="K8" i="4" s="1"/>
  <c r="F13" i="5"/>
  <c r="J13" i="5" s="1"/>
  <c r="H35" i="4"/>
  <c r="J35" i="4"/>
  <c r="H33" i="4"/>
  <c r="J33" i="4"/>
  <c r="H32" i="4"/>
  <c r="J19" i="4"/>
  <c r="K18" i="4" s="1"/>
  <c r="H42" i="4"/>
  <c r="F42" i="4"/>
  <c r="J42" i="4" s="1"/>
  <c r="K40" i="4" s="1"/>
  <c r="C72" i="6" s="1"/>
  <c r="H39" i="4"/>
  <c r="F39" i="4"/>
  <c r="J39" i="4" s="1"/>
  <c r="H38" i="4"/>
  <c r="F38" i="4"/>
  <c r="J38" i="4" s="1"/>
  <c r="H37" i="4"/>
  <c r="F37" i="4"/>
  <c r="J37" i="4" s="1"/>
  <c r="H31" i="4"/>
  <c r="H30" i="4"/>
  <c r="H29" i="4"/>
  <c r="H28" i="4"/>
  <c r="J28" i="4"/>
  <c r="H27" i="4"/>
  <c r="J27" i="4"/>
  <c r="H26" i="4"/>
  <c r="J26" i="4"/>
  <c r="H24" i="4"/>
  <c r="F24" i="4"/>
  <c r="J24" i="4" s="1"/>
  <c r="K23" i="4" s="1"/>
  <c r="C69" i="6" s="1"/>
  <c r="H19" i="4"/>
  <c r="G25" i="3"/>
  <c r="I10" i="3"/>
  <c r="I12" i="3"/>
  <c r="G12" i="3"/>
  <c r="K12" i="3" s="1"/>
  <c r="L11" i="3" s="1"/>
  <c r="C57" i="6" s="1"/>
  <c r="I34" i="3"/>
  <c r="I32" i="3"/>
  <c r="I14" i="3"/>
  <c r="K14" i="3" s="1"/>
  <c r="L13" i="3" s="1"/>
  <c r="C58" i="6" s="1"/>
  <c r="G14" i="3"/>
  <c r="K29" i="3"/>
  <c r="I29" i="3"/>
  <c r="I28" i="3"/>
  <c r="G28" i="3"/>
  <c r="K28" i="3" s="1"/>
  <c r="I27" i="3"/>
  <c r="G27" i="3"/>
  <c r="K27" i="3" s="1"/>
  <c r="G24" i="3"/>
  <c r="G23" i="3"/>
  <c r="K23" i="3" s="1"/>
  <c r="G22" i="3"/>
  <c r="C59" i="6"/>
  <c r="G10" i="3"/>
  <c r="K10" i="3" s="1"/>
  <c r="G9" i="3"/>
  <c r="K9" i="3" s="1"/>
  <c r="C53" i="6"/>
  <c r="I189" i="2"/>
  <c r="G189" i="2"/>
  <c r="J189" i="2" s="1"/>
  <c r="I188" i="2"/>
  <c r="G188" i="2"/>
  <c r="J188" i="2" s="1"/>
  <c r="I187" i="2"/>
  <c r="G187" i="2"/>
  <c r="J187" i="2" s="1"/>
  <c r="I186" i="2"/>
  <c r="G186" i="2"/>
  <c r="J186" i="2" s="1"/>
  <c r="I154" i="2"/>
  <c r="G154" i="2"/>
  <c r="J154" i="2" s="1"/>
  <c r="I153" i="2"/>
  <c r="G153" i="2"/>
  <c r="J153" i="2" s="1"/>
  <c r="I152" i="2"/>
  <c r="G152" i="2"/>
  <c r="J152" i="2" s="1"/>
  <c r="I151" i="2"/>
  <c r="J151" i="2"/>
  <c r="I150" i="2"/>
  <c r="G150" i="2"/>
  <c r="J150" i="2" s="1"/>
  <c r="I148" i="2"/>
  <c r="J148" i="2"/>
  <c r="I147" i="2"/>
  <c r="J147" i="2"/>
  <c r="I146" i="2"/>
  <c r="G146" i="2"/>
  <c r="J146" i="2" s="1"/>
  <c r="K96" i="2"/>
  <c r="K91" i="2"/>
  <c r="C38" i="6" s="1"/>
  <c r="K87" i="2"/>
  <c r="K78" i="2"/>
  <c r="C35" i="6" s="1"/>
  <c r="K149" i="2" l="1"/>
  <c r="K139" i="2"/>
  <c r="K36" i="4"/>
  <c r="C71" i="6" s="1"/>
  <c r="C64" i="6"/>
  <c r="L8" i="3"/>
  <c r="C56" i="6" s="1"/>
  <c r="L21" i="3"/>
  <c r="C60" i="6" s="1"/>
  <c r="L185" i="2"/>
  <c r="C37" i="6"/>
  <c r="L86" i="2"/>
  <c r="L26" i="3"/>
  <c r="C61" i="6" s="1"/>
  <c r="L30" i="3"/>
  <c r="C62" i="6" s="1"/>
  <c r="K25" i="4"/>
  <c r="C70" i="6" s="1"/>
  <c r="C67" i="6"/>
  <c r="C39" i="6"/>
  <c r="K8" i="5"/>
  <c r="K7" i="5" s="1"/>
  <c r="K75" i="2"/>
  <c r="C34" i="6" s="1"/>
  <c r="K69" i="2"/>
  <c r="K66" i="2"/>
  <c r="C32" i="6" s="1"/>
  <c r="K61" i="2"/>
  <c r="C31" i="6" s="1"/>
  <c r="K55" i="2"/>
  <c r="K50" i="2"/>
  <c r="C28" i="6" s="1"/>
  <c r="K46" i="2"/>
  <c r="C27" i="6" s="1"/>
  <c r="K43" i="2"/>
  <c r="C26" i="6" s="1"/>
  <c r="K40" i="2"/>
  <c r="C25" i="6" s="1"/>
  <c r="K35" i="2"/>
  <c r="I33" i="2"/>
  <c r="G33" i="2"/>
  <c r="J33" i="2" s="1"/>
  <c r="I32" i="2"/>
  <c r="G32" i="2"/>
  <c r="J32" i="2" s="1"/>
  <c r="C54" i="6" l="1"/>
  <c r="D54" i="6" s="1"/>
  <c r="C50" i="6"/>
  <c r="L102" i="2"/>
  <c r="C40" i="6" s="1"/>
  <c r="D40" i="6" s="1"/>
  <c r="C33" i="6"/>
  <c r="L54" i="2"/>
  <c r="C29" i="6" s="1"/>
  <c r="D29" i="6" s="1"/>
  <c r="C63" i="6"/>
  <c r="D63" i="6" s="1"/>
  <c r="L7" i="3"/>
  <c r="C55" i="6" s="1"/>
  <c r="D55" i="6" s="1"/>
  <c r="C51" i="6"/>
  <c r="L34" i="2"/>
  <c r="K31" i="2"/>
  <c r="C22" i="6" s="1"/>
  <c r="C73" i="6"/>
  <c r="D73" i="6" s="1"/>
  <c r="C74" i="6"/>
  <c r="C24" i="6"/>
  <c r="C30" i="6"/>
  <c r="C36" i="6"/>
  <c r="D36" i="6" s="1"/>
  <c r="K18" i="2"/>
  <c r="C19" i="6" s="1"/>
  <c r="K27" i="2"/>
  <c r="C21" i="6" s="1"/>
  <c r="K22" i="2"/>
  <c r="C20" i="6" s="1"/>
  <c r="C23" i="6" l="1"/>
  <c r="D23" i="6" s="1"/>
  <c r="C13" i="6"/>
  <c r="C10" i="6"/>
  <c r="C12" i="6"/>
  <c r="C8" i="6" l="1"/>
  <c r="C7" i="6" s="1"/>
  <c r="H49" i="1"/>
  <c r="K14" i="2"/>
  <c r="L9" i="2" s="1"/>
  <c r="L8" i="2" s="1"/>
  <c r="C15" i="6" s="1"/>
  <c r="C18" i="6" l="1"/>
  <c r="D8" i="6"/>
  <c r="D7" i="6" s="1"/>
  <c r="C16" i="6" l="1"/>
  <c r="D15" i="6" l="1"/>
  <c r="D16" i="6"/>
  <c r="C14" i="6" l="1"/>
  <c r="C6" i="6" s="1"/>
  <c r="D1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F19" authorId="0" shapeId="0" xr:uid="{9CF3920F-4EE0-4C69-93AE-209C26232B71}">
      <text>
        <r>
          <rPr>
            <b/>
            <sz val="9"/>
            <color indexed="81"/>
            <rFont val="Tahoma"/>
            <family val="2"/>
          </rPr>
          <t>ASUS:</t>
        </r>
        <r>
          <rPr>
            <sz val="9"/>
            <color indexed="81"/>
            <rFont val="Tahoma"/>
            <family val="2"/>
          </rPr>
          <t xml:space="preserve">
4 Kali Jumlah Posyandu 
</t>
        </r>
      </text>
    </comment>
    <comment ref="F20" authorId="0" shapeId="0" xr:uid="{E1A0E9CA-CE85-4874-ADD1-97CBE7553CE4}">
      <text>
        <r>
          <rPr>
            <b/>
            <sz val="9"/>
            <color indexed="81"/>
            <rFont val="Tahoma"/>
            <family val="2"/>
          </rPr>
          <t>ASUS:</t>
        </r>
        <r>
          <rPr>
            <sz val="9"/>
            <color indexed="81"/>
            <rFont val="Tahoma"/>
            <family val="2"/>
          </rPr>
          <t xml:space="preserve">
2 kali jumlah institusi pendidikan yang dikaji PHBS)</t>
        </r>
      </text>
    </comment>
    <comment ref="F21" authorId="0" shapeId="0" xr:uid="{182F063F-911B-4DDE-B662-DE409BC40F4C}">
      <text>
        <r>
          <rPr>
            <b/>
            <sz val="9"/>
            <color indexed="81"/>
            <rFont val="Tahoma"/>
            <family val="2"/>
          </rPr>
          <t>ASUS:</t>
        </r>
        <r>
          <rPr>
            <sz val="9"/>
            <color indexed="81"/>
            <rFont val="Tahoma"/>
            <family val="2"/>
          </rPr>
          <t xml:space="preserve">
2 kali jumlah pondok pesantren yang dikaji PHBS</t>
        </r>
      </text>
    </comment>
    <comment ref="F30" authorId="0" shapeId="0" xr:uid="{5E558C2C-1694-4166-BCE7-CC6527890C31}">
      <text>
        <r>
          <rPr>
            <b/>
            <sz val="9"/>
            <color indexed="81"/>
            <rFont val="Tahoma"/>
            <family val="2"/>
          </rPr>
          <t>ASUS:</t>
        </r>
        <r>
          <rPr>
            <sz val="9"/>
            <color indexed="81"/>
            <rFont val="Tahoma"/>
            <family val="2"/>
          </rPr>
          <t xml:space="preserve">
minimal 2 (dua) kali dalam satu tahun/ desa</t>
        </r>
      </text>
    </comment>
  </commentList>
</comments>
</file>

<file path=xl/sharedStrings.xml><?xml version="1.0" encoding="utf-8"?>
<sst xmlns="http://schemas.openxmlformats.org/spreadsheetml/2006/main" count="1468" uniqueCount="972">
  <si>
    <t>Lampiran 2</t>
  </si>
  <si>
    <t>No</t>
  </si>
  <si>
    <t>Jenis Variabel</t>
  </si>
  <si>
    <t>Definisi Operasional</t>
  </si>
  <si>
    <t>Skala</t>
  </si>
  <si>
    <t>Nilai 0</t>
  </si>
  <si>
    <t>Nilai 4</t>
  </si>
  <si>
    <t>Nilai 7</t>
  </si>
  <si>
    <t>Nilai 10</t>
  </si>
  <si>
    <t>(1)</t>
  </si>
  <si>
    <t>(2)</t>
  </si>
  <si>
    <t>(3)</t>
  </si>
  <si>
    <t>(4)</t>
  </si>
  <si>
    <t>(5)</t>
  </si>
  <si>
    <t>(6)</t>
  </si>
  <si>
    <t>(7)</t>
  </si>
  <si>
    <t xml:space="preserve">1.1.Manajemen Umum </t>
  </si>
  <si>
    <t>Rencana 5 (lima) tahunan</t>
  </si>
  <si>
    <t>Rencana 5 (lima) tahunan sesuai visi, misi, tugas pokok dan fungsi Puskesmas bedasarkan pada analisis kebutuhan masyarakat akan pelayanan kesehatan sebagai upaya untuk meningkatkan derajat kesehatan masyarakat secara optimal</t>
  </si>
  <si>
    <t>Tidak ada rencana 5 (lima) tahunan</t>
  </si>
  <si>
    <t>Ada, tidak sesuai visi, misi, tugas pokok dan fungsi Puskesmas, tidak berdasarkan pada analisis kebutuhan masyarakat</t>
  </si>
  <si>
    <t>Ada, sesuai visi, misi, tugas pokok dan fungsi Puskesmas, tidak berdasarkan pada analisis kebutuhan masyarakat</t>
  </si>
  <si>
    <t>Ada, sesuai visi, misi, tugas pokok dan fungsi Puskesmas bedasarkan pada analisis kebutuhan masyarakat</t>
  </si>
  <si>
    <t xml:space="preserve">RUK Tahun (N+1)  </t>
  </si>
  <si>
    <t>RUK (Rencana Usulan Kegiatan) Puskesmas untuk tahun yad  ( N+1) dibuat berdasarkan analisa situasi, kebutuhan dan harapan  masyarakat dan hasil capaian kinerja, prioritas serta data 2 ( dua) tahun yang lalu dan data survei, disahkan oleh Kepala Puskesmas</t>
  </si>
  <si>
    <t>Tidak ada</t>
  </si>
  <si>
    <t xml:space="preserve">Ada , tidak sesuai visi, misi, tugas pokok dan fungsi Puskesmas,tidak berdasarkan pada analisis kebutuhan masyarakat dan kinerja </t>
  </si>
  <si>
    <t xml:space="preserve">Ada,  sesuai visi, misi, tugas pokok dan fungsi Puskesmas, tidak berdasarkan pada analisis kebutuhan masyarakat dan kinerja </t>
  </si>
  <si>
    <t>Ada , sesuai visi, misi, tugas pokok dan fungsi Puskesmas, bedasarkan pada analisis kebutuhan masyarakat dan kinerja , ada pengesahan kepala Puskesmas</t>
  </si>
  <si>
    <t>RPK/POA bulanan/tahunan</t>
  </si>
  <si>
    <t xml:space="preserve">Dokumen Rencana Pelaksanaan Kegiatan (RPK), sebagai acuan pelaksanaan kegiatan yang akan dijadwalkan selama 1 (satu) tahun dengan memperhatikan visi misi dan tata nilai Puskesmas </t>
  </si>
  <si>
    <t>Tidak ada Ada dokumen RPK</t>
  </si>
  <si>
    <t>dokumen RPK tidak sesuai RUK, Tidak ada pembahasan dengan LP maupun LS, dalam penentuan jadwal</t>
  </si>
  <si>
    <t>dokumen RPK sesuai RUK, tidak ada pembahasan dengan LP maupun LS dalam penentuan jadwal</t>
  </si>
  <si>
    <t>dokumen RPK sesuai RUK, ada pembahasan dengan LP maupun LS dalam penentuan jadwal</t>
  </si>
  <si>
    <t>Lokakarya Mini bulanan (lokmin bulanan)</t>
  </si>
  <si>
    <r>
      <t>Rapat Lintas Program  (LP) membahas review kegiatan, permasalahan LP,rencana tindak lanjut (c</t>
    </r>
    <r>
      <rPr>
        <i/>
        <sz val="12"/>
        <color rgb="FF000000"/>
        <rFont val="Tahoma"/>
        <family val="2"/>
      </rPr>
      <t>orrective action</t>
    </r>
    <r>
      <rPr>
        <sz val="12"/>
        <color rgb="FF000000"/>
        <rFont val="Tahoma"/>
        <family val="2"/>
      </rPr>
      <t>) ,  beserta tindak lanjutnyasecara lengkap. Dokumen lokmin awal tahun memuat penyusunan POA, briefing penjelasan program dari Kapus dan detail pelaksanaan program (target, strategi pelaksana) dan kesepakatan pegawai Puskesmas. Notulen memuat evaluasi bulanan pelaksanaan kegiatan dan langkah koreksi.</t>
    </r>
  </si>
  <si>
    <t xml:space="preserve">Tidak ada dokumen </t>
  </si>
  <si>
    <t>Ada, dokumen tidak memuat evaluasi bulanan pelaksanaan kegiatan dan langkah koreksi</t>
  </si>
  <si>
    <r>
      <t>Ada, dokumen</t>
    </r>
    <r>
      <rPr>
        <i/>
        <sz val="12"/>
        <color rgb="FF000000"/>
        <rFont val="Tahoma"/>
        <family val="2"/>
      </rPr>
      <t xml:space="preserve"> corrective actio</t>
    </r>
    <r>
      <rPr>
        <sz val="12"/>
        <color rgb="FF000000"/>
        <rFont val="Tahoma"/>
        <family val="2"/>
      </rPr>
      <t>n,dafar hadir, notulen hasil  lokmin,undangan rapat lokmin tiap bulan lengkap</t>
    </r>
  </si>
  <si>
    <t>Ada, dokumen yang menindaklanjuti hasil lokmin bulan sebelumnya</t>
  </si>
  <si>
    <t>Lokakarya Mini tribulanan  (lokmin tribulanan)</t>
  </si>
  <si>
    <t>Rapat lintas program dan Lintas Sektor (LS) membahas review kegiatan, permasalahan LP, corrective action,  beserta tindak lanjutnya  secara lengkap tindak lanjutnya. Dokumen memuat evaluasi kegiatan yang memerlukan peran LS</t>
  </si>
  <si>
    <t>Ada Dokumen corrective action,dafar hadir, notulen hasil  lokmin,undangan rapat lokmin lengkap</t>
  </si>
  <si>
    <t>Ada, dokumen yang menindaklanjuti hasil lokmin yang melibatkan peran serta LS</t>
  </si>
  <si>
    <t>Survei Keluarga Sehat (12 Indikator Keluarga Sehat)</t>
  </si>
  <si>
    <t xml:space="preserve">Survei meliputi: 
1. KB          
2. Persalinan di faskes            
3. Bayi dengan imunisasi dasar lengkap, bayi dengan ASI eksklusif                    
4. Balita ditimbang                     
5. Penderita TB, hipertensi dan gangguan jiwa mendapat pengobatan, tidak merokok, JKN, air bersih dan jamban sehat  yang dilakukan oleh Puskesmas dan jaringannya </t>
  </si>
  <si>
    <t xml:space="preserve">survei kurang dari 30% </t>
  </si>
  <si>
    <t>Dilakukan survei &gt;30%, dilakukan intervensi awal dan dilakukan entri data aplikasi</t>
  </si>
  <si>
    <t>Dilakukan survei &gt;30%,dilakukan intervensi awal, dilakukakan entri data apalikasi dan dilakukan analisis hasil survei</t>
  </si>
  <si>
    <t>Dilakukan survei  minimal lebih dari 30%, telah dilakukan intervensi awal, dilakukan entri data aplikasi, dilakukan analisis data dan dilakukan intervensi lanjut`</t>
  </si>
  <si>
    <t>Survei Mawas Diri (SMD)</t>
  </si>
  <si>
    <t xml:space="preserve">Kegiatan  mengenali keadaan dan masalah yang dihadapi masyarakat serta potensi yang dimiliki masyarakat untuk mengatasi masalah tersebut.Hasil identifikasi dianalisis untuk menyusun upaya, selanjutnya masyarakat dapat digerakkan untuk berperan serta aktif untuk memperkuat upaya perbaikannya sesuai batas kewenangannya.. </t>
  </si>
  <si>
    <t>Tidak dilakukan</t>
  </si>
  <si>
    <t>Ada dokumen KA dan SOP SMD tapi belum dilaksanakan</t>
  </si>
  <si>
    <t>Ada dokumen KA dan SOP SMD, dilaksanakan SMD, ada rekapan hasil SMD, tidak ada analisis dan jenis kegiatan yang dibutuhkan masyarakat</t>
  </si>
  <si>
    <t>Ada SOP SMD, kerangka acuan, pelaksanaan, rekapan, analisis dan jenis kegiatan yang dibutuhkan masyarakat dari hasil SMD.</t>
  </si>
  <si>
    <t>Pertemuan dengan masyarakat dalam rangka pemberdayaan Individu, Keluarga dan Kelompok</t>
  </si>
  <si>
    <t xml:space="preserve">Pertemuan dengan masyarakat  dalam rangka pemberdayaan (meliputi keterlibatan dalam perencanaan, pelaksanaan dan evaluasi kegiatan) Individu, Keluarga dan Kelompok. </t>
  </si>
  <si>
    <t>Tidak ada pertemuan</t>
  </si>
  <si>
    <t>Ada pertemuan minimal 2 kali setahun</t>
  </si>
  <si>
    <t>ada pertemuan minimal 2 kali setahun, ada hasil pembahasan untuk pemberdayaan masyarakat</t>
  </si>
  <si>
    <t>ada pertemuan minimal 2 kali setahun, ada hasil pembahasan pemberdayaan masyarakat, ada tindaklanjut pemberdayaan</t>
  </si>
  <si>
    <t xml:space="preserve">SK Tim mutu  dan uraian tugas </t>
  </si>
  <si>
    <t>Surat Keputusan Kepala Puskesmas  dan uraian tugas Tim Mutu  (UKM Essensial, UKM pengembangan , UKP, Administrasi Manajemen, Mutu, PPI, Keselamatan Pasien serta Audit Internal), serta dilaksanakan evaluasi terhadap pelaksanaan uraian tugas minimal sekali setahun</t>
  </si>
  <si>
    <t>Tidak ada SK Tim, uraian tugas serta evaluasi pelaksanaan uraian tugas</t>
  </si>
  <si>
    <t>Ada SK Tim Mutu, tidak ada  uraian tugas dan evaluasi pelaksanaan uraian tugas</t>
  </si>
  <si>
    <t>Ada SK Tim  Mutu dan  uraian tugas, tidak ada  evaluasi pelaksanaan uraian tugas</t>
  </si>
  <si>
    <t>Ada SK Tim Mutu   dan uraian tugas serta evaluasi pelaksanaan uraian tugas</t>
  </si>
  <si>
    <t>Rencana program mutu dan keselamatan pasien</t>
  </si>
  <si>
    <t>Rencana kegiatan perbaikan/peningkatan mutu dan keselamatan pasien lengkap dengan sumber dana dan sumber daya, jadwal audit internal,kerangka acuan kegiatan dan notulen serta bukti pelaksanaan serta evaluasinya</t>
  </si>
  <si>
    <t>Tidak ada dokumen rencana program mutu dan keselamatan pasien</t>
  </si>
  <si>
    <t>Ada rencana pelaksanaan kegiatan perbaikan dan peningkatan mutu,  tidak ada bukti pelaksanaan dan evaluasinya</t>
  </si>
  <si>
    <t xml:space="preserve">Ada sebagian dokumen rencana pelaksanaan kegiatan perbaikan dan peningkatan mutu dan bukti pelaksanaan dan evaluasi belum dilakukan </t>
  </si>
  <si>
    <t>Ada dokumen rencana program mutu dan keselamatan pasien lengkap dengan sumber dana, sumber daya serta bukti pelaksanaan dan evaluasinya</t>
  </si>
  <si>
    <t xml:space="preserve">Pelaksanaan  manajemen risiko di Puskesmas </t>
  </si>
  <si>
    <t>proses identifikasi, evaluasi, pengendalian dan meminimalkan risiko di Puskesms</t>
  </si>
  <si>
    <t>Tidak melakukan proses manajemen risiko dan tidak ada dokumen register risiko</t>
  </si>
  <si>
    <t xml:space="preserve">Melakukan identifikasi risiko, tidak ada upaya pencegahan dan penanganan risiko, tidak ada dokumen register risiko </t>
  </si>
  <si>
    <t>Melakukan identifikasi risiko, ada upaya pencegahan dan penanganan risiko, ada dokumen register risiko  tidak lengkap</t>
  </si>
  <si>
    <t>Melakukan identifikasi risiko, ada upaya pencegahan dan penanganan risiko, ada dokumen register risiko  lengkap</t>
  </si>
  <si>
    <t>Pengelolaan Pengaduan Pelanggan</t>
  </si>
  <si>
    <t xml:space="preserve">Pengelolaan pengaduan meliputi menyediakan media pengaduan, mencatat pengaduan (dari Kotak saran, sms, email, wa, telpon dll), melakukan analisa, membuat rencana tindak lanjut, tindak lanjut dan evaluasi </t>
  </si>
  <si>
    <t xml:space="preserve">tidak ada  media pengaduan, data ada, analisa lengkap dengan rencana tindak lanjut, tindak lanjut dan evaluasi </t>
  </si>
  <si>
    <t xml:space="preserve">Media dan data tidak lengkap, ada analisa , rencana  tindak lanjut , tindak lanjut dan evaluasi belum ada </t>
  </si>
  <si>
    <t xml:space="preserve">Media dan data ata lengkap,analisa  sebagian ada , rencana  tindak lanjut, tindak lanjut dan evaluasi belum ada . </t>
  </si>
  <si>
    <t xml:space="preserve">Media dan data ada, analisa lengkap dengan rencana tindak lanjut, tindak lanjut dan evaluasi </t>
  </si>
  <si>
    <t xml:space="preserve">Survei Kepuasan Masyarakat </t>
  </si>
  <si>
    <t xml:space="preserve">Survei Kepuasan adalah kegiatan yang dilakukan untuk mengetahui kepuasan masyarakat terhadap kegiatan/pelayanan yang telah dilakukan Puskesmas </t>
  </si>
  <si>
    <t>Tidak ada data</t>
  </si>
  <si>
    <t xml:space="preserve">Data tidak lengkap,analisa , rencana  tindak lanjut, tindak lanjut dan evaluasi  serta publikasi belum ada </t>
  </si>
  <si>
    <t xml:space="preserve">Data lengkap,analisa  sebagian ada , rencana  tindak lanjut, tindak lanjut dan evaluasi serta publikasi  belum ada </t>
  </si>
  <si>
    <t>Data ada, analisa lengkap dengan rencana tindak lanjut, tindak lanjut dan evaluasi serta telah dipublikasikan</t>
  </si>
  <si>
    <t xml:space="preserve">Audit internal </t>
  </si>
  <si>
    <t>Pemantauan mutu layanan sepanjang tahun, meliputi audit  input, proses (PDCA) dan output pelayanan, ada jadwal selama setahun, instrumen, hasil dan  laporan audit internal</t>
  </si>
  <si>
    <t xml:space="preserve">Tidak dilakukan audit internal </t>
  </si>
  <si>
    <t xml:space="preserve">Dilakukan, dokumen lengkap, tidak ada analisa, rencana tindak lanjut, tindak lanjut dan evaluasi </t>
  </si>
  <si>
    <t>Dilakukan, dokumen lengkap, ada analisa, rencana tindak lanjut,  tidak ada tindak lanjut dan evaluasi</t>
  </si>
  <si>
    <t>Dilakukan, dokumen lengkap, ada analisa, rencana tindak lanjut, tindak lanjut dan evaluasi</t>
  </si>
  <si>
    <t>Rapat Tinjauan Manajemen</t>
  </si>
  <si>
    <t>Rapat Tinjauan Manajemen (RTM) dilakukan minimal 2x/tahun untuk meninjau kinerja sistem manajemen mutu, dan kinerja pelayanan/ upaya Puskesmas untuk memastikan kelanjutan, kesesuaian, kecukupan, dan efektifitas sistem manajemen mutu dan sistem pelayanan, menghasilkan luaran rencana perbaikan serta peningkatan mutu</t>
  </si>
  <si>
    <t>Tidak ada RTM, dokumen dan rencana pelaksanaan kegiatan perbaikan dan peningkatan mutu</t>
  </si>
  <si>
    <r>
      <t>Dilakukan</t>
    </r>
    <r>
      <rPr>
        <u/>
        <sz val="12"/>
        <color rgb="FF000000"/>
        <rFont val="Tahoma"/>
        <family val="2"/>
      </rPr>
      <t xml:space="preserve"> </t>
    </r>
    <r>
      <rPr>
        <sz val="12"/>
        <color rgb="FF000000"/>
        <rFont val="Tahoma"/>
        <family val="2"/>
      </rPr>
      <t xml:space="preserve">1 kali setahun, dokumen  notulen, daftar hadir lengkap, ada analisa, rencana tindak lanjut (perbaikan/peningkatan mutu),belum ada  tindak lanjut dan evaluasi </t>
    </r>
  </si>
  <si>
    <t xml:space="preserve">Dilakukan 2 kali setahun, ada  notulen, daftar hadir, ada analisa, rencana tindak lanjut (perbaikan/peningkatan mutu), tindak lanjut dan belum dilakukan evaluasi </t>
  </si>
  <si>
    <t xml:space="preserve">Dilakukan &gt; 2 kali setahun, ada  notulen, daftar hadir, analisa, rencana tindak lanjut (perbaikan/peningkatan mutu), tindak lanjut dan evaluasi </t>
  </si>
  <si>
    <r>
      <t>Penyajian/</t>
    </r>
    <r>
      <rPr>
        <i/>
        <sz val="12"/>
        <color rgb="FF000000"/>
        <rFont val="Tahoma"/>
        <family val="2"/>
      </rPr>
      <t>updating</t>
    </r>
    <r>
      <rPr>
        <sz val="12"/>
        <color rgb="FF000000"/>
        <rFont val="Tahoma"/>
        <family val="2"/>
      </rPr>
      <t xml:space="preserve">  data dan informasi </t>
    </r>
  </si>
  <si>
    <r>
      <t>Penyajian/</t>
    </r>
    <r>
      <rPr>
        <i/>
        <sz val="12"/>
        <color theme="1"/>
        <rFont val="Tahoma"/>
        <family val="2"/>
      </rPr>
      <t>updating</t>
    </r>
    <r>
      <rPr>
        <sz val="12"/>
        <color theme="1"/>
        <rFont val="Tahoma"/>
        <family val="2"/>
      </rPr>
      <t xml:space="preserve"> data dan informasi tentang : capaian program (PKP), KS, hasil survei SMD, IKM,data dasar, data kematian ibu dan anak, status gizi , Kesehatan lingkungan, SPM, Pemantauan Standar Puskesmas</t>
    </r>
  </si>
  <si>
    <t>Tidak ada data dan pelaporan</t>
  </si>
  <si>
    <t xml:space="preserve">Kelengkapan data 50% </t>
  </si>
  <si>
    <t xml:space="preserve">Kelengkapan data75% </t>
  </si>
  <si>
    <t xml:space="preserve">Lengkap pencatatan dan pelaporan, benar </t>
  </si>
  <si>
    <t>1.2. Manajemen Peralatan dan Sarana Prasarana</t>
  </si>
  <si>
    <t xml:space="preserve">Kelengkapan dan Updating data Aplikasi  Sarana, Prasarana, Alat Kesehatan (ASPAK) </t>
  </si>
  <si>
    <t xml:space="preserve"> Nilai data kumulatif SPA  &gt;60 % dan &gt;50% berdasarkan data ASPAK yang telah diupdate secara berkala ( minimal 2 kali dalam setahun, tgl 30 Juni dan 31 Desember tahun berjalan ) dan telah divalidasi Dinkes Kab/Kota.</t>
  </si>
  <si>
    <t xml:space="preserve">Nilai data  kumulatif SPA  &lt; 60 % dan kelengkapan alat kesehatan &lt;50 % dan data ASPAK belum diupdate dan divalidasi Dinkes Kab/Kota </t>
  </si>
  <si>
    <t xml:space="preserve">Nilai data  kumulatif SPA  &lt;60 % dan kelengkapan alat kesehatan &lt;50 % berdasarkan data ASPAK yang sudah diupdate dan divalidasi Dinkes Kab/Kota </t>
  </si>
  <si>
    <t xml:space="preserve">Nilai data  kumulatif SPA  &gt;60 % dan kelengkapan alat kesehatan &lt;50 % berdasarkan data ASPAK yang sudah diupdate dan divalidasi Dinkes Kab/Kota </t>
  </si>
  <si>
    <t xml:space="preserve">Nilai data  kumulatif SPA  &gt;60 % dan kelengkapan alat kesehatan &gt; 50% berdasarkan data ASPAK yang sudah diupdate dan divalidasi Dinkes Kab/Kota </t>
  </si>
  <si>
    <t xml:space="preserve">Analisis data ASPAK dan rencana tindak lanjut </t>
  </si>
  <si>
    <t>Analisis data ASPAK  berisi ketersediaan Sarana , Prasarana dan alkes (SPA) di masing-masing ruangan dan kebutuhan SPA yang belum terpenuhi.Tindak lanjut berisi upaya yang akan dilakukan dalam pemenuhan kebutuhan SPA.</t>
  </si>
  <si>
    <t>Tidak ada analisis data</t>
  </si>
  <si>
    <t xml:space="preserve">Ada analisis data, rencana  tindak lanjut, tindak lanjut dan evaluasi belum ada </t>
  </si>
  <si>
    <t>Ada analisis data SPA , rencana  tindak lanjut, tidak ada tindak lanjut dan evaluasi</t>
  </si>
  <si>
    <t>Ada analisis data lengkap dengan rencana tindak lanjut, tindak lanjut dan evaluasi</t>
  </si>
  <si>
    <t>Pemeliharaan prasarana Puskesmas</t>
  </si>
  <si>
    <t>Pemeliharaan prasarana terjadwal  serta dilakukan, dilengkapi dengan jadwal dan bukti pelaksanaan</t>
  </si>
  <si>
    <t>Tidak ada jadwal pemeliharaan prasarana dan tidak dilakukan pemeliharaan</t>
  </si>
  <si>
    <t>Ada jadwal pemeliharaan dan tidak dilakukan pemeliharaan</t>
  </si>
  <si>
    <t>Ada jadwal pemeliharaan dan  dilakukan pemeliharaan. Tidak ada bukti pelaksanaan.</t>
  </si>
  <si>
    <t>Ada jadwal pemeliharaan dan  dilakukan pemeliharaan. Ada bukti pelaksanaan.</t>
  </si>
  <si>
    <t xml:space="preserve">Kalibrasi  alat kesehatan </t>
  </si>
  <si>
    <t xml:space="preserve">Kalibrasi alkes dilakukan sesuai dengan daftar peralatan yang perlu dikalibrasi, ada jadwal, dan bukti  pelaksanaan kalibrasi.
 </t>
  </si>
  <si>
    <t>Tidak ada jadwal kalibrasi dan tidak dilakukan kalibrasi</t>
  </si>
  <si>
    <t>Ada jadwal kalibrasi dan tidak dilakukan kalibrasi</t>
  </si>
  <si>
    <t>Ada jadwal kalibrasi dan  dilakukan kalibrasiTidak ada bukti pelaksanaan.</t>
  </si>
  <si>
    <t>Ada jadwal kalibrasi dan  dilakukan kalibrasi Ada bukti pelaksanaan.</t>
  </si>
  <si>
    <t>Perbaikan dan pemeliharaan peralatan medis dan non medis</t>
  </si>
  <si>
    <t>Perbaikan dan pemeliharaan peralatan medis dan non medis terjadwal dan sudah dilakukan yang dibuktikan dengan adanya jadwal dan bukti pelaksanaan</t>
  </si>
  <si>
    <t>Tidak ada jadwal pemeliharaan peralatan dan tidak dilakukan pemeliharaan</t>
  </si>
  <si>
    <t xml:space="preserve">1.3. Manajemen Keuangan </t>
  </si>
  <si>
    <t xml:space="preserve">Data realisasi keuangan </t>
  </si>
  <si>
    <t xml:space="preserve"> Realisasi capaian keuangan yang disertai bukti</t>
  </si>
  <si>
    <t xml:space="preserve">Data/laporan  tidak lengkap, belum di lakukan analisa, rencana  tindak lanjut, tindak lanjut dan evaluasi </t>
  </si>
  <si>
    <t xml:space="preserve">Data/laporan lengkap, ada sebagian analisa, belum ada rencana  tindak lanjut, tindak lanjut dan evaluasi </t>
  </si>
  <si>
    <t>Ada data/laporan keuangan, analisa lengkap dengan rencana tindak lanjut, tindak lanjut dan evaluasi</t>
  </si>
  <si>
    <t>Data keuangan dan laporan pertanggung jawaban</t>
  </si>
  <si>
    <t>Data  pencatatan pelaporan pertanggung jawaban  keuangan ke Dinkes Kab/Kota,penerimaan dan pengeluaran , realisasi capaian keuangan yang disertai bukti</t>
  </si>
  <si>
    <t>Data dan laporan  tidak lengkap, belum ada analisa, rencana  tindak lanjut, tindak lanjut dan evaluasi</t>
  </si>
  <si>
    <t xml:space="preserve">Data/laporan lengkap,analisa  sebagian ada , rencana  tindak lanjut, tindak lanjut dan evaluasi belum ada </t>
  </si>
  <si>
    <t>Data /laporan ada, analisa lengkap dengan rencana tindak lanjut, tindak lanjut dan evaluasi</t>
  </si>
  <si>
    <t>1.4.Manajemen Sumber Daya Manusia</t>
  </si>
  <si>
    <t>Rencana Kebutuhan Tenaga (Renbut)</t>
  </si>
  <si>
    <t>Metode Penghitungan Kebutuhan SDM Kesehatan secara riil sesuai kompetensinya berdasarkan beban kerja</t>
  </si>
  <si>
    <t>Tidak ada dokumen</t>
  </si>
  <si>
    <r>
      <t xml:space="preserve">Ada dokumen renbut, dengan hasil </t>
    </r>
    <r>
      <rPr>
        <u/>
        <sz val="12"/>
        <color rgb="FF000000"/>
        <rFont val="Tahoma"/>
        <family val="2"/>
      </rPr>
      <t>&lt;</t>
    </r>
    <r>
      <rPr>
        <sz val="12"/>
        <color rgb="FF000000"/>
        <rFont val="Tahoma"/>
        <family val="2"/>
      </rPr>
      <t xml:space="preserve"> 4 jenis nakes dari 9 nakes sesuai kebutuhan</t>
    </r>
  </si>
  <si>
    <r>
      <t xml:space="preserve">Ada dokumen renbut, dengan hasil </t>
    </r>
    <r>
      <rPr>
        <u/>
        <sz val="12"/>
        <color rgb="FF000000"/>
        <rFont val="Tahoma"/>
        <family val="2"/>
      </rPr>
      <t>&lt;</t>
    </r>
    <r>
      <rPr>
        <sz val="12"/>
        <color rgb="FF000000"/>
        <rFont val="Tahoma"/>
        <family val="2"/>
      </rPr>
      <t xml:space="preserve"> 7 jenis nakes  (termasuk dokter, dokter gigi, bidan dan perawat) dari 9 nakes sesuai kebutuhan</t>
    </r>
  </si>
  <si>
    <r>
      <t xml:space="preserve">Ada dokumen renbut, dengan hasil </t>
    </r>
    <r>
      <rPr>
        <u/>
        <sz val="12"/>
        <color rgb="FF000000"/>
        <rFont val="Tahoma"/>
        <family val="2"/>
      </rPr>
      <t>&lt;</t>
    </r>
    <r>
      <rPr>
        <sz val="12"/>
        <color rgb="FF000000"/>
        <rFont val="Tahoma"/>
        <family val="2"/>
      </rPr>
      <t xml:space="preserve"> 9 jenis nakes (termasuk dokter, dokter gigi, bidan dan perawat) sesuai kebutuhan</t>
    </r>
  </si>
  <si>
    <t xml:space="preserve">SK, uraian tugas pokok (tanggung jawab dan wewenang ) serta uraian tugas integrasi </t>
  </si>
  <si>
    <t xml:space="preserve">Surat Keputusan Penanggung Jawab dengan uraian tugas pokok dan tugas integrasi jabatan karyawan </t>
  </si>
  <si>
    <t>Tidak ada SK tentang  SO dan uraian tugas</t>
  </si>
  <si>
    <t>Ada SK Penanggung Jawab dan  uraian tugas 50% karyawan</t>
  </si>
  <si>
    <t>Ada SK Penanggung Jawab dan  uraian tugas 75% karyawan</t>
  </si>
  <si>
    <t>Ada SK Penanggung Jawab dan  uraian tugas seluruh karyawan</t>
  </si>
  <si>
    <t>Data kepegawaian</t>
  </si>
  <si>
    <t xml:space="preserve"> data kepegawaian meliputi dokumentasi STR/SIP/SIPP/SIB/SIK/SIPA dan hasil pengembangan SDM ( sertifikat,Pelatihan, seminar, workshop, dll),a nalisa pemenuhan standar jumlah dan kompetensi  SDM di Puskesmas, rencana tindak lanjut, tindak lanjut dan evaluasi nya</t>
  </si>
  <si>
    <t xml:space="preserve">Data tidak lengkap, tidak ada analisa   , rencana  tindak lanjut, tindak lanjut dan evaluasi </t>
  </si>
  <si>
    <t xml:space="preserve">Data lengkap,analisa  sebagian ada , rencana  tindak lanjut, tindak lanjut dan evaluasi belum ada </t>
  </si>
  <si>
    <t>Data lengkap, analisa lengkap dengan rencana tindak lanjut, tindak lanjut dan evaluasi</t>
  </si>
  <si>
    <t>1.5. Manajemen Pelayanan Kefarmasian (Pengelolaan obat, vaksin, reagen dan bahan habis pakai)</t>
  </si>
  <si>
    <t>1.</t>
  </si>
  <si>
    <t xml:space="preserve"> SOP Pelayanan Kefarmasian</t>
  </si>
  <si>
    <t xml:space="preserve">SOP pengelolaan sediaan farmasi (perencanaan, permintaan/ pengadaan, penerimaan, penyimpanan, distribusi, pencatatan dan pelaporan, dll) dan pelayanan farmasi klinik (Pengkajian Dan Pelayanan Resep , penyiapan obat, penyerahan obat, pemberian informasi obat, konseling, evaluasi penggunaan obat (EPO), Visite pemantauan terapi obat (PTO) khusus untuk Puskesmas rawat inap , pengelolan obat emergensi dll) </t>
  </si>
  <si>
    <t>Tidak ada SOP</t>
  </si>
  <si>
    <t>Ada SOP, tidak lengkap</t>
  </si>
  <si>
    <t>Ada SOP, lengkap</t>
  </si>
  <si>
    <t xml:space="preserve">Ada SOP, lengkap, ada dokumentasi pelaksanaan SOP. Dokumen pelaksanaan :  (perencanaan (RKO), permintaan/ pengadaan(LPLPO/SP), penerimaan( BAST), penyimpanan(kartu stok), distribusi(LPLPO unit/SBBK), pencatatan dan pelaporan( LPLPO, Ketersediaan 40 item obat dan 5 item vaksin, laporan narkotika psikotropika) dan pelayanan farmasi klinik (Pengkajian Dan Pelayanan Resep (skrining resep), penyiapan obat, penyerahan obat, pemberian informasi obat ( lembar pemberian informasi obat), konseling( form konseling), evaluasi penggunaan obat (EPO)( POR dan ketersediaan obat thd fornas), Visite untuk dalam gedung dan Home Pharmacy Care untuk luar gedung (dokumen catatan penggunaan obat pasien/dokumen PTO) pemantauan terapi obat(PTO) ( dokumen PTO)khusus untuk Puskesmas rawat inap , pengelolan obat emergensi (ada emergency kit dan buku monitoring obat emergency) </t>
  </si>
  <si>
    <t xml:space="preserve">2. </t>
  </si>
  <si>
    <t>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</si>
  <si>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</si>
  <si>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</si>
  <si>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</si>
  <si>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</si>
  <si>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</si>
  <si>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3.</t>
  </si>
  <si>
    <t>Nilai</t>
  </si>
  <si>
    <t>(8)</t>
  </si>
  <si>
    <t>Jumlah Nilai Kinerja Manajemen Pelayanan Kefarmasian  ( V)</t>
  </si>
  <si>
    <t>Total Nilai Kinerja Administrasi dan Manajemen (I- V)</t>
  </si>
  <si>
    <t>Rata-rata Kinerja Administrasi dan Manajemen</t>
  </si>
  <si>
    <t>Jumlah Nilai Kinerja Manajemen Sumber Daya Manusia (IV)</t>
  </si>
  <si>
    <t>Jumlah Nilai Kinerja Manajemen Keuangan  (III)</t>
  </si>
  <si>
    <t>Jumlah Nilai Kinerja Manajemen Peralatan dan sarana prasarana  (II)</t>
  </si>
  <si>
    <t>Jumlah Nilai Kinerja Manajemen Umum Puskesmas  (I)</t>
  </si>
  <si>
    <t>Pelayanan Kesehatan/ Program/Variabel/Sub Variabel Program</t>
  </si>
  <si>
    <t xml:space="preserve">Satuan sasaran </t>
  </si>
  <si>
    <t xml:space="preserve">Total Sasaran  </t>
  </si>
  <si>
    <t xml:space="preserve">Target Sasaran      </t>
  </si>
  <si>
    <t xml:space="preserve">Pencapaian  (dalam satuan sasaran) </t>
  </si>
  <si>
    <t>% Cakupan Riil</t>
  </si>
  <si>
    <t>% Kinerja Puskesmas</t>
  </si>
  <si>
    <t>Ketercapaian  Target Tahun n</t>
  </si>
  <si>
    <t>Analisa  Akar Penyebab Masalah</t>
  </si>
  <si>
    <t>Rencana Tindak Lanjut</t>
  </si>
  <si>
    <t xml:space="preserve">Sub Variabel </t>
  </si>
  <si>
    <t>Variabel</t>
  </si>
  <si>
    <t xml:space="preserve"> Program</t>
  </si>
  <si>
    <t>(9)</t>
  </si>
  <si>
    <t>(10)</t>
  </si>
  <si>
    <t>(11)</t>
  </si>
  <si>
    <t>(12)</t>
  </si>
  <si>
    <t>(13)</t>
  </si>
  <si>
    <t>(14)</t>
  </si>
  <si>
    <t>2.1.1.1 Pengkajian PHBS (Perilaku Hidup Bersih dan Sehat)  </t>
  </si>
  <si>
    <t>Rumah Tangga yang dikaji</t>
  </si>
  <si>
    <t>Rumah Tangga</t>
  </si>
  <si>
    <t>2.</t>
  </si>
  <si>
    <t>Institusi Pendidikan yang dikaji</t>
  </si>
  <si>
    <t xml:space="preserve">3. </t>
  </si>
  <si>
    <t>Pondok Pesantren (Ponpes) yang dikaji</t>
  </si>
  <si>
    <t>Ponpes</t>
  </si>
  <si>
    <t>Rumah Tangga Sehat yang memenuhi 10 indikator PHBS</t>
  </si>
  <si>
    <t>2.1.1.3.Intervensi/ Penyuluhan </t>
  </si>
  <si>
    <t xml:space="preserve">Posyandu </t>
  </si>
  <si>
    <t>2.1.1.4.Pengembangan UKBM</t>
  </si>
  <si>
    <t xml:space="preserve">1. </t>
  </si>
  <si>
    <t>Poskesdes/ Poskeskel Aktif</t>
  </si>
  <si>
    <t>2.1.1.5 Pengembangan Desa/Kelurahan Siaga Aktif </t>
  </si>
  <si>
    <t xml:space="preserve">Desa/Kelurahan Siaga Aktif </t>
  </si>
  <si>
    <t>Desa</t>
  </si>
  <si>
    <t>Desa/Kelurahan Siaga Aktif  PURI (Purnama Mandiri )</t>
  </si>
  <si>
    <t>2.1.1.6. Promosi Kesehatan dan Pemberdayaan Masyarakat</t>
  </si>
  <si>
    <t>Promosi kesehatan untuk program prioritas di dalam gedung  Puskesmas dan jaringannya (sasaran  masyarakat)</t>
  </si>
  <si>
    <t>Puskesmas &amp; Jaringannya</t>
  </si>
  <si>
    <t xml:space="preserve">Pengukuran dan Pembinaan Tingkat Perkembangan UKBM </t>
  </si>
  <si>
    <t>Konseling Sanitasi</t>
  </si>
  <si>
    <t>orang</t>
  </si>
  <si>
    <t xml:space="preserve">Inspeksi Sanitasi PBL </t>
  </si>
  <si>
    <t>2.1.3.1.Kesehatan Ibu</t>
  </si>
  <si>
    <t>Pelayanan Persalinan oleh tenaga kesehatan di fasilitas kesehatan (Pf) -SPM</t>
  </si>
  <si>
    <t xml:space="preserve">Pelayanan Nifas  oleh tenaga kesehatan (KF) </t>
  </si>
  <si>
    <t>Penanganan komplikasi kebidanan (PK)</t>
  </si>
  <si>
    <t>Ibu hamil yang diperiksa HIV</t>
  </si>
  <si>
    <t xml:space="preserve">Pelayanan Kesehatan Neonatus pertama (KN1) </t>
  </si>
  <si>
    <r>
      <t xml:space="preserve">Pelayanan Kesehatan Neonatus 0 - 28 hari (KN lengkap) </t>
    </r>
    <r>
      <rPr>
        <b/>
        <sz val="12"/>
        <color theme="1"/>
        <rFont val="Tahoma"/>
        <family val="2"/>
      </rPr>
      <t>-SPM</t>
    </r>
  </si>
  <si>
    <t>Penanganan komplikasi neonatus</t>
  </si>
  <si>
    <t>4.</t>
  </si>
  <si>
    <t>Pelayanan kesehatan bayi 29 hari - 11 bulan</t>
  </si>
  <si>
    <t>Pelayanan  kesehatan balita (0 - 59 bulan)</t>
  </si>
  <si>
    <t>Pelayanan Kesehatan pada Usia Pendidikan Dasar  kelas 1 sampai dengan kelas 9 dan diluar satuan pendidikan dasar</t>
  </si>
  <si>
    <t>5.</t>
  </si>
  <si>
    <t xml:space="preserve">Pelayanan kesehatan remaja </t>
  </si>
  <si>
    <t>KB aktif (Contraceptive Prevalence Rate/ CPR)</t>
  </si>
  <si>
    <t xml:space="preserve">Peserta KB baru </t>
  </si>
  <si>
    <t>Akseptor KB Drop Out</t>
  </si>
  <si>
    <t xml:space="preserve">4. </t>
  </si>
  <si>
    <t>Peserta KB mengalami komplikasi</t>
  </si>
  <si>
    <t>PUS dengan 4 T ber  KB</t>
  </si>
  <si>
    <t>KB pasca persalinan</t>
  </si>
  <si>
    <t>CPW dilayanan kespro catin</t>
  </si>
  <si>
    <t>2.1.4.1.Pelayanan Gizi Masyarakat</t>
  </si>
  <si>
    <t xml:space="preserve">Pemberian kapsul vitamin A dosis tinggi pada balita  (6-59 bulan ) </t>
  </si>
  <si>
    <t>Pemberian 90 tablet Besi pada ibu hamil</t>
  </si>
  <si>
    <t>bumil</t>
  </si>
  <si>
    <t>Pemberian Tablet Tambah Darah pada Remaja Putri</t>
  </si>
  <si>
    <t xml:space="preserve">Pemberian   makanan tambahan  bagi balita gizi kurang </t>
  </si>
  <si>
    <t>Balita</t>
  </si>
  <si>
    <t xml:space="preserve">Pemberian  makanan tambahan  pada ibu hamil   Kurang Energi Kronik  (KEK )   </t>
  </si>
  <si>
    <t>Balita gizi buruk mendapat perawatan sesuai standar tatalaksana gizi buruk</t>
  </si>
  <si>
    <t xml:space="preserve">Pemberian Proses Asuhan Gizi di Puskesmas  (sesuai buku pedoman asuhan gizi tahun 2018 warna kuning ) </t>
  </si>
  <si>
    <t>Balita (Dokumen)</t>
  </si>
  <si>
    <t>2.1.4.3. Pemantauan Status Gizi</t>
  </si>
  <si>
    <t>Balita yang di timbang berat badanya   ( D/S)</t>
  </si>
  <si>
    <t>Balita ditimbang yang  naik berat badannya (N/D)</t>
  </si>
  <si>
    <t xml:space="preserve">Balita stunting ( pendek dan sangat pendek )  </t>
  </si>
  <si>
    <t xml:space="preserve">Bayi usia 6 (enam) bulan mendapat ASI Eksklusif </t>
  </si>
  <si>
    <t>Bayi</t>
  </si>
  <si>
    <t>Bayi yang baru lahir mendapat IMD (Inisiasi Menyusu Dini)</t>
  </si>
  <si>
    <t>Pelayanan Diare Balita</t>
  </si>
  <si>
    <t xml:space="preserve">3.  </t>
  </si>
  <si>
    <t xml:space="preserve">Pelaksanaan kegiatan Layanan Rehidrasi Oral Aktif (LROA) </t>
  </si>
  <si>
    <t>Pemeriksaan kontak dari kasus Kusta baru</t>
  </si>
  <si>
    <t xml:space="preserve">RFT penderita Kusta </t>
  </si>
  <si>
    <t xml:space="preserve">Proporsi tenaga kesehatan Kusta tersosialisasi </t>
  </si>
  <si>
    <t xml:space="preserve">Kader Posyandu yang telah mendapat sosialisasi kusta </t>
  </si>
  <si>
    <t>SD/ MI  telah dilakukan screening Kusta</t>
  </si>
  <si>
    <t xml:space="preserve">Persentase Pelayanan orang terduga TBC mendapatkan pelayanan TBC sesuai standar (Standar Pelayanan Minimal ke 11) </t>
  </si>
  <si>
    <t>Angka Keberhasilan pengobatan kasus TBC 
(Success Rate/SR)</t>
  </si>
  <si>
    <t>Sekolah (SMP dan SMA/sederajat) yang sudah dijangkau penyuluhan HIV/AIDS</t>
  </si>
  <si>
    <t xml:space="preserve">Angka Bebas Jentik (ABJ) </t>
  </si>
  <si>
    <t>≥95%</t>
  </si>
  <si>
    <t>PE kasus DBD</t>
  </si>
  <si>
    <t>Penderita Malaria yang dilakukan pemeriksaan SD</t>
  </si>
  <si>
    <t xml:space="preserve">Penderita positif Malaria yang diobati sesuai pengobatan standar </t>
  </si>
  <si>
    <t>Penderita positif Malaria yang di follow up</t>
  </si>
  <si>
    <t xml:space="preserve">Cuci luka terhadap kasus gigitan HPR </t>
  </si>
  <si>
    <t xml:space="preserve">Vaksinasi terhadap kasus gigitan HPR yang berindikasi </t>
  </si>
  <si>
    <t>6.</t>
  </si>
  <si>
    <t>7.</t>
  </si>
  <si>
    <t>Pemantauan suhu, VVM, serta Alarm Dingin pada lemari es penyimpan vaksin</t>
  </si>
  <si>
    <t>Laporan KIPI Zero reporting / KIPI Non serius</t>
  </si>
  <si>
    <t>laporan</t>
  </si>
  <si>
    <t>desa/kelurahan</t>
  </si>
  <si>
    <t>Pelayanan Kesehatan Usia Produktif</t>
  </si>
  <si>
    <t>Total Nilai Kinerja UKM esensial (I- V)</t>
  </si>
  <si>
    <t xml:space="preserve">Interpretasi nilai rata2 kinerja  program UKM esensial: </t>
  </si>
  <si>
    <r>
      <t xml:space="preserve">1. Baik   bila nilai rata-rata </t>
    </r>
    <r>
      <rPr>
        <u/>
        <sz val="12"/>
        <color rgb="FF000000"/>
        <rFont val="Times New Roman"/>
        <family val="1"/>
      </rPr>
      <t/>
    </r>
  </si>
  <si>
    <r>
      <rPr>
        <u/>
        <sz val="14"/>
        <color theme="1"/>
        <rFont val="Tahoma"/>
        <family val="2"/>
      </rPr>
      <t xml:space="preserve"> &gt;</t>
    </r>
    <r>
      <rPr>
        <sz val="14"/>
        <color theme="1"/>
        <rFont val="Tahoma"/>
        <family val="2"/>
      </rPr>
      <t xml:space="preserve"> 91%</t>
    </r>
  </si>
  <si>
    <t xml:space="preserve">2. Cukup bila nilai rata-rata </t>
  </si>
  <si>
    <t xml:space="preserve"> 81 - 90 % </t>
  </si>
  <si>
    <t xml:space="preserve">3. Rendah bila nilai rata-rata </t>
  </si>
  <si>
    <r>
      <rPr>
        <u/>
        <sz val="14"/>
        <color theme="1"/>
        <rFont val="Tahoma"/>
        <family val="2"/>
      </rPr>
      <t>&lt;</t>
    </r>
    <r>
      <rPr>
        <sz val="14"/>
        <color theme="1"/>
        <rFont val="Tahoma"/>
        <family val="2"/>
      </rPr>
      <t xml:space="preserve"> 80%</t>
    </r>
  </si>
  <si>
    <t>Kolom ke</t>
  </si>
  <si>
    <t>Keterangan:</t>
  </si>
  <si>
    <r>
      <rPr>
        <b/>
        <sz val="12"/>
        <color rgb="FF000000"/>
        <rFont val="Tahoma"/>
        <family val="2"/>
      </rPr>
      <t>Upaya Pelayanan Kesehatan</t>
    </r>
    <r>
      <rPr>
        <sz val="12"/>
        <color rgb="FF000000"/>
        <rFont val="Tahoma"/>
        <family val="2"/>
      </rPr>
      <t>:  UKM esensial, UKM pengembangan, UKP  (Upaya Pelayanan kesehatan yang dilakukan di Puskesmas )</t>
    </r>
  </si>
  <si>
    <r>
      <rPr>
        <b/>
        <sz val="12"/>
        <color rgb="FF000000"/>
        <rFont val="Tahoma"/>
        <family val="2"/>
      </rPr>
      <t>Program</t>
    </r>
    <r>
      <rPr>
        <sz val="12"/>
        <color rgb="FF000000"/>
        <rFont val="Tahoma"/>
        <family val="2"/>
      </rPr>
      <t xml:space="preserve"> : bagian Upaya Pelayanan Kesehatan, misalnya UKM esensial terdiri dari 5 Program ( Promosi Kesehatan, Kesehatan Lingkungan, KIA-KB dll)</t>
    </r>
  </si>
  <si>
    <r>
      <rPr>
        <b/>
        <sz val="12"/>
        <color rgb="FF000000"/>
        <rFont val="Tahoma"/>
        <family val="2"/>
      </rPr>
      <t>Variabel</t>
    </r>
    <r>
      <rPr>
        <sz val="12"/>
        <color rgb="FF000000"/>
        <rFont val="Tahoma"/>
        <family val="2"/>
      </rPr>
      <t xml:space="preserve"> : bagian dari Program , contoh variabel Promosi Kesehatan adalah tatanan sehat, intervensi/penyuluhan, pengembangan UKBM dll</t>
    </r>
  </si>
  <si>
    <r>
      <rPr>
        <b/>
        <sz val="12"/>
        <color rgb="FF000000"/>
        <rFont val="Tahoma"/>
        <family val="2"/>
      </rPr>
      <t>Subvariabel:</t>
    </r>
    <r>
      <rPr>
        <sz val="12"/>
        <color rgb="FF000000"/>
        <rFont val="Tahoma"/>
        <family val="2"/>
      </rPr>
      <t xml:space="preserve"> bagian dari variabel, contoh: subvariabel Tatanan sehat adalah rumah tangga sehat yang memenuhi  10 indikator PHBS, Institusi Pendidikan yang memenuhi 7-8 indikator PHBS dst</t>
    </r>
  </si>
  <si>
    <r>
      <rPr>
        <b/>
        <sz val="12"/>
        <color rgb="FF000000"/>
        <rFont val="Tahoma"/>
        <family val="2"/>
      </rPr>
      <t>Satuan sasaran</t>
    </r>
    <r>
      <rPr>
        <sz val="12"/>
        <color rgb="FF000000"/>
        <rFont val="Tahoma"/>
        <family val="2"/>
      </rPr>
      <t>: satuan kegiatan program, misal orang, balita, rumah tangga dll</t>
    </r>
  </si>
  <si>
    <r>
      <rPr>
        <b/>
        <sz val="12"/>
        <color rgb="FF000000"/>
        <rFont val="Tahoma"/>
        <family val="2"/>
      </rPr>
      <t>Total Sasaran</t>
    </r>
    <r>
      <rPr>
        <sz val="12"/>
        <color rgb="FF000000"/>
        <rFont val="Tahoma"/>
        <family val="2"/>
      </rPr>
      <t xml:space="preserve">: sasaran target keseluruhan ( 100%), jumlah populasi/area di wilayah kerja </t>
    </r>
  </si>
  <si>
    <r>
      <rPr>
        <b/>
        <sz val="12"/>
        <color rgb="FF000000"/>
        <rFont val="Tahoma"/>
        <family val="2"/>
      </rPr>
      <t>Pencapaian:</t>
    </r>
    <r>
      <rPr>
        <sz val="12"/>
        <color rgb="FF000000"/>
        <rFont val="Tahoma"/>
        <family val="2"/>
      </rPr>
      <t xml:space="preserve"> hasil masing kegiatan Puskesmas (dalam satuan sasaran )</t>
    </r>
  </si>
  <si>
    <r>
      <rPr>
        <b/>
        <sz val="12"/>
        <color rgb="FF000000"/>
        <rFont val="Tahoma"/>
        <family val="2"/>
      </rPr>
      <t>% cakupan riil</t>
    </r>
    <r>
      <rPr>
        <sz val="12"/>
        <color rgb="FF000000"/>
        <rFont val="Tahoma"/>
        <family val="2"/>
      </rPr>
      <t>= kolom 7  ( pencapaian) dibagi kolom 5 ( total sasaran) dikali 100%; cakupan sesungguhnya dari tiap program, dibandingkan dengan total sasaran.</t>
    </r>
  </si>
  <si>
    <t>9-11</t>
  </si>
  <si>
    <r>
      <rPr>
        <b/>
        <sz val="12"/>
        <color rgb="FF000000"/>
        <rFont val="Tahoma"/>
        <family val="2"/>
      </rPr>
      <t>% Kinerja Puskesmas</t>
    </r>
    <r>
      <rPr>
        <sz val="12"/>
        <color rgb="FF000000"/>
        <rFont val="Tahoma"/>
        <family val="2"/>
      </rPr>
      <t>= pencapaian kinerja Puskesmas dibandingkan Target Sasaran, penilaian ketercapaian target sasaran</t>
    </r>
  </si>
  <si>
    <r>
      <rPr>
        <b/>
        <sz val="12"/>
        <color rgb="FF000000"/>
        <rFont val="Tahoma"/>
        <family val="2"/>
      </rPr>
      <t>%  Kinerja Sub Variabel</t>
    </r>
    <r>
      <rPr>
        <sz val="12"/>
        <color rgb="FF000000"/>
        <rFont val="Tahoma"/>
        <family val="2"/>
      </rPr>
      <t>/Variabel/Program Puskesmas= Pencapaian  ( kolom 7) dibagi Target sasaran ( kolom 6) dikali 100%</t>
    </r>
  </si>
  <si>
    <r>
      <rPr>
        <b/>
        <sz val="12"/>
        <color rgb="FF000000"/>
        <rFont val="Tahoma"/>
        <family val="2"/>
      </rPr>
      <t>% kinerja variabel Puskesmas</t>
    </r>
    <r>
      <rPr>
        <sz val="12"/>
        <color rgb="FF000000"/>
        <rFont val="Tahoma"/>
        <family val="2"/>
      </rPr>
      <t>=  penjumlahan % kinerja subvariabel ( kolom 9) dibagi sejumlah subvariabel</t>
    </r>
  </si>
  <si>
    <t>Catatan: Bagi program yang tidak mempunyai subvariabel, maka bisa langsung mengisi % kinerja variabel dan % kinerja rata- rata program</t>
  </si>
  <si>
    <r>
      <rPr>
        <b/>
        <sz val="12"/>
        <color rgb="FF000000"/>
        <rFont val="Tahoma"/>
        <family val="2"/>
      </rPr>
      <t>% kinerja rata2 program</t>
    </r>
    <r>
      <rPr>
        <sz val="12"/>
        <color rgb="FF000000"/>
        <rFont val="Tahoma"/>
        <family val="2"/>
      </rPr>
      <t>= penjumlahan % kinerja variabel  ( kolom 10) dibagi sejumlah variabel</t>
    </r>
  </si>
  <si>
    <r>
      <rPr>
        <b/>
        <sz val="12"/>
        <color rgb="FF000000"/>
        <rFont val="Tahoma"/>
        <family val="2"/>
      </rPr>
      <t>Analisa Akar Penyebab Masalah</t>
    </r>
    <r>
      <rPr>
        <sz val="12"/>
        <color rgb="FF000000"/>
        <rFont val="Tahoma"/>
        <family val="2"/>
      </rPr>
      <t>: akar masalah terkecil penyebab ketidak tercapaian target</t>
    </r>
  </si>
  <si>
    <r>
      <rPr>
        <b/>
        <sz val="12"/>
        <color rgb="FF000000"/>
        <rFont val="Tahoma"/>
        <family val="2"/>
      </rPr>
      <t>Rencana Tindak lanjut</t>
    </r>
    <r>
      <rPr>
        <sz val="12"/>
        <color rgb="FF000000"/>
        <rFont val="Tahoma"/>
        <family val="2"/>
      </rPr>
      <t>: berhubungan dengan analisa akar penyebab masalah</t>
    </r>
  </si>
  <si>
    <t>Lampiran 3</t>
  </si>
  <si>
    <t>Cara Penghitungan</t>
  </si>
  <si>
    <t>Jumlah Rumah Tangga yang dikaji PHBS dibagi jumlah  sasaran Rumah Tangga dikali 100%</t>
  </si>
  <si>
    <t>Jumlah Institusi Pendidikan yang dikaji PHBS dibagi jumlah sasaran Institusi Pendidikan dikali 100%</t>
  </si>
  <si>
    <t>Jumlah Pondok Pesantren yang dikaji PHBS dibagi jumlah Ponpes dikali 100%</t>
  </si>
  <si>
    <t>2.1.1.2.Tatanan Sehat </t>
  </si>
  <si>
    <t>Jumlah Rumah Tangga yang memenuhi 10 indikator PHBS rumah tangga dibagi jumlah sasaran rumah tangga yang dikaji dikali 100%</t>
  </si>
  <si>
    <t>Jumlah kegiatan penyuluhan/bentuk intervensi lain pada institusi pendidikan yang dikaji PHBS selama 1 tahun dibagi (2 kali jumlah institusi pendidikan yang dikaji PHBS) dikali 100 %</t>
  </si>
  <si>
    <t>Jumlah kegiatan penyuluhan/bentuk intervensi lain pada pondok pesantren yang dikaji PHBS selama 1 tahun dibagi (2 kali jumlah pondok pesantren yang dikaji PHBS) dikali 100 %</t>
  </si>
  <si>
    <t>Jumlah Poskesdes/Poskeskel yang  berstrata Madya, Purnama dan  Mandiri dibagi jumlah Poskesdes/Poskeskel yang ada dikali 100%</t>
  </si>
  <si>
    <t>Jumlah Desa/Kelurahan  Siaga Aktif  dengan  Strata Pratama, Madya, Purnama  dan Mandiri dibagi jumlah total desa dikali 100%</t>
  </si>
  <si>
    <t>Jumlah Desa/Kelurahan Siaga Aktif Purnama dan Mandiri dibagi jumlah total Desa Siaga dikali 100%</t>
  </si>
  <si>
    <t>Jumlah Desa/Kelurahan Siaga yang dibina 2 kali  per tahun dibagi jumlah total desa/Kelurahan Siaga dikali 100 %</t>
  </si>
  <si>
    <t>Jumlah Puskesmas dan jaringannya melakukan promosi kesehatan program prioritas sebanyak 12 (dua belas) kali dalam kurun waktu satu tahun kepada masyarakat yang datang ke Puskesmas dan jaringannya  dibagi jumlah Puskesmas dan jaringannya di satu wilayah kerja dalam kurun waktu satu tahun yang sama dikali 100 %</t>
  </si>
  <si>
    <r>
      <t xml:space="preserve">Jenis  UKBM yang diukur dan dibina tingkat perkembangannya dibagi  jenis UKBM  yang ada di satu wilayah kerja dalam kurun waktu satu tahun  dikali 100 %          </t>
    </r>
    <r>
      <rPr>
        <b/>
        <u/>
        <sz val="10"/>
        <color rgb="FF000000"/>
        <rFont val="Times New Roman"/>
        <family val="1"/>
      </rPr>
      <t/>
    </r>
  </si>
  <si>
    <r>
      <t xml:space="preserve">2.1.2.1.Penyehatan Air </t>
    </r>
    <r>
      <rPr>
        <sz val="12"/>
        <rFont val="Tahoma"/>
        <family val="2"/>
      </rPr>
      <t> </t>
    </r>
  </si>
  <si>
    <r>
      <t>2.1.2.4.Yankesling (Klinik Sanitasi)</t>
    </r>
    <r>
      <rPr>
        <sz val="12"/>
        <rFont val="Tahoma"/>
        <family val="2"/>
      </rPr>
      <t> </t>
    </r>
  </si>
  <si>
    <t xml:space="preserve">Jumlah pasien PBL yang dikonseling dibagi dengan jumlah Pasien PBL di wilayah Puskesmas dikali 100 % </t>
  </si>
  <si>
    <r>
      <t>2.1.2.5. Sanitasi Total Berbasis Masyarakat ( STBM ) = Pemberdayaan Masyarakat</t>
    </r>
    <r>
      <rPr>
        <sz val="12"/>
        <rFont val="Tahoma"/>
        <family val="2"/>
      </rPr>
      <t> </t>
    </r>
  </si>
  <si>
    <t>Desa/kelurahan yang Stop Buang Air Besar Sembarangan (SBS)</t>
  </si>
  <si>
    <t xml:space="preserve">Jumlah Desa/Kelurahan yang sudah Stop Buang Air Besar Sembarangan (SBS) dibagi jumlah desa/kelurahan yang ada dikali 100 %  </t>
  </si>
  <si>
    <t>Jumlah Ibu hamil yang mendapatkan pelayanan ANC sesuai standar (K1) dibagi sasaran ibu hamil dikali 100%</t>
  </si>
  <si>
    <t>Jumlah persalinan oleh tenaga kesehatan yang kompeten  di fasilitas pelayanan kesehatan dibagi jumlah sasaran ibu bersalin dikali 100%</t>
  </si>
  <si>
    <t>Jumlah ibu nifas yang memperoleh 4 kali pelayanan nifas sesuai standar dibagi sasaran ibu bersalin dikali 100%</t>
  </si>
  <si>
    <t>Jumlah ibu hamil,bersalin dan nifas dengan komplikasi kebidanan yang mendapatkan penanganan  definitif (sampai selesai) dibagi 20% sasaran  ibu  hamil  dikali 100%</t>
  </si>
  <si>
    <t>Jumlah ibu hamil yang diperiksa HIV dibagi ibu hamil K1 dikali 100 %</t>
  </si>
  <si>
    <r>
      <t>2.1.3.2. Kesehatan Bayi</t>
    </r>
    <r>
      <rPr>
        <sz val="12"/>
        <color theme="1"/>
        <rFont val="Tahoma"/>
        <family val="2"/>
      </rPr>
      <t> </t>
    </r>
  </si>
  <si>
    <t>Jumlah neonatus yang mendapat pelayanan sesuai standar pada 6-48 jam setelah lahir di bagi sasaran lahir hidup dikali 100%</t>
  </si>
  <si>
    <t>Jumlah neonatus umur 0-28 hari yang memperoleh minimal 3 kali pelayanan  sesuai standar dibagi sasaran lahir hidup dikali 100%</t>
  </si>
  <si>
    <t>Jumlah neonatus dengan komplikasi yang mendapat penanganan sesuai standar dibagi 15% sasaran lahir hidup kali 100%</t>
  </si>
  <si>
    <t>Jumlah bayi usia 29 hari- 11 bulan yang telah memperoleh 4 kali pelayanan kesehatan sesuai standar dibagi sasaran bayi dikali 100%</t>
  </si>
  <si>
    <r>
      <t>2.1.3.3. Kesehatan Anak Balita dan Anak Prasekolah</t>
    </r>
    <r>
      <rPr>
        <sz val="12"/>
        <color theme="1"/>
        <rFont val="Tahoma"/>
        <family val="2"/>
      </rPr>
      <t> </t>
    </r>
  </si>
  <si>
    <t>Jumlah Balita usia 12-23 bulan yang mendapat Pelayanan Kesehatan sesuai Standar 1 + Jumlah Balita usia 24-35 bulan mendapatkan
pelayanan kesehatan sesuai standar 2 + Balita usia 36-59 bulan mendapakan pelayanan sesuai standar 3 sesuai standar dalam kurun waktu satu tahun  dibagi Jumlah balita  usia 12 –59 bulanpada kurun waktu satu tahun yang sama dikali 100%</t>
  </si>
  <si>
    <t>Jumlah anak umur 60-72 bulan yang memperoleh pelayanan kesehatan sesuai standar dibagi sasaran anak prasekolah dikali 100%</t>
  </si>
  <si>
    <r>
      <t>2.1.3.4. Kesehatan Anak Usia Sekolah dan Remaja</t>
    </r>
    <r>
      <rPr>
        <sz val="12"/>
        <color theme="1"/>
        <rFont val="Tahoma"/>
        <family val="2"/>
      </rPr>
      <t> </t>
    </r>
  </si>
  <si>
    <r>
      <t>Jumlah remaja usia 10 - 18 tahun</t>
    </r>
    <r>
      <rPr>
        <strike/>
        <sz val="12"/>
        <color theme="1"/>
        <rFont val="Tahoma"/>
        <family val="2"/>
      </rPr>
      <t xml:space="preserve"> </t>
    </r>
    <r>
      <rPr>
        <sz val="12"/>
        <color theme="1"/>
        <rFont val="Tahoma"/>
        <family val="2"/>
      </rPr>
      <t>yang mendapat pelayanan kesehatan remaja berupa skrining kesehatan sesuai standar, KIE, konseling dan pelayanan medis  di wilayah kerja tertentu dalam kurun waktu satu tahun dibagi jumlah semua remaja usia 10 - 18 tahun di wilayah kerja tertentu dalam kurun waktu tahun yang sama  dikali 100%</t>
    </r>
  </si>
  <si>
    <t>2.1.3.5  Pelayanan Kesehatan Lansia</t>
  </si>
  <si>
    <r>
      <t>Pelayanan Kesehatan pada Usia Lanjut (usia ≥ 60 tahun )</t>
    </r>
    <r>
      <rPr>
        <b/>
        <sz val="12"/>
        <rFont val="Tahoma"/>
        <family val="2"/>
      </rPr>
      <t xml:space="preserve">               (Standar Pelayanan Minimal ke 7)</t>
    </r>
  </si>
  <si>
    <t>Jumlah warga negara berusia 60 tahun atau lebih yang mendapat skrining kesehatan sesuai standar minimal 1 (satu) kali di suatu wilayah kerja  dalam kurun waktu satu tahun di bagi jumlah semua warga negara berusia  60 tahun atau lebih  di suatu wilayah kerja dalam kurun waktu satu tahun yang sama di kali 100 %.</t>
  </si>
  <si>
    <t xml:space="preserve">Pelayanan Kesehatan pada  Pra usia lanjut  (45 - 59 tahun)  </t>
  </si>
  <si>
    <t>Jumlah warga negara usia 45 tahun sampai 59 tahun  yang mendapatkan pelayanan kesehatan sesuai standar di wilayah kerja tertentu dalam kurun waktu satu tahun di bagi Jumlah semua warga negara usia 45 tahun sampai 59 tahun di wilayah kerja tertentu dalam kurun waktu satu tahun yang sama di kali 100 %.</t>
  </si>
  <si>
    <r>
      <t>2.1.3.6. Pelayanan Keluarga Berencana (KB)</t>
    </r>
    <r>
      <rPr>
        <sz val="12"/>
        <color theme="1"/>
        <rFont val="Tahoma"/>
        <family val="2"/>
      </rPr>
      <t> </t>
    </r>
  </si>
  <si>
    <t>Jumlah Peserta KB aktif dibagi jumlah PUS dikali 100% 
&lt; 65 % = sesuaia capaian
65 % - 70 % = 100 %
71 % - 75 %  = 90 %
76 % - 80 % =  80 %
81 % - 85 % = 70 %
86 % - 90 % = 60 %
90 % - 100 %=50 %</t>
  </si>
  <si>
    <t xml:space="preserve">Jumlah peserta KB baru dibagi jumlah PUS dikali 100% </t>
  </si>
  <si>
    <t>Jumlah peserta KB aktif yang drop out  dibagi jumlah KB aktif  dikali 100%  Jumlah peserta KB yang drop out  dibagi jumlah peserta KB aktif dikali 100 %.                                            
Catatan untuk kinerja Puskesmas :                         &lt; 10%          = 100%;                 
10 - 12,5%    = 75%;                    
&gt;12,5-15%    =50%;                     
 &gt;15 -17,5%  =25%          
&gt;17,5%         = 0%</t>
  </si>
  <si>
    <r>
      <t xml:space="preserve"> Jumlah peserta KB yang mengalami komplikasi  dibagi jumlah KB aktif  dikali 100% .                                           
</t>
    </r>
    <r>
      <rPr>
        <b/>
        <sz val="12"/>
        <color theme="1"/>
        <rFont val="Tahoma"/>
        <family val="2"/>
      </rPr>
      <t>Catatan untuk kinerja Puskesmas</t>
    </r>
    <r>
      <rPr>
        <sz val="12"/>
        <color theme="1"/>
        <rFont val="Tahoma"/>
        <family val="2"/>
      </rPr>
      <t>:                     &lt; 3,5%          = 100%;                         
3,5 - 4,5%     = 75%;                    
&gt; 4,5-7,5%    = 50%;                     
 &gt; 7,5 -10%   = 25%                    
 &gt; 10%          = 0%</t>
    </r>
  </si>
  <si>
    <t xml:space="preserve">6. </t>
  </si>
  <si>
    <t>Jumlah PUS 4T ber KB dibagi jumlah PUS dengan 4T  dikali 100 %</t>
  </si>
  <si>
    <t>jumlah ibu paska persalinan ber KB  dibagi Jumlah sasaran ibu bersalin x 100%</t>
  </si>
  <si>
    <t>Jumlah calon pengantin perempuan yang telah mendapat pelayanan kesehatan reproduksi calon pengantin, dibagi jumlah calon pengantin perempuan yang terdaftar di KUA/lembaga agama lain di wilayah kerja Puskesmas dalam kurun waktu 1 tahun dikali 100%</t>
  </si>
  <si>
    <t>Jumlah balita 6 - 59 bulan yang mendapat kapsul Vit. A  di bagi Jumlah balita 6 - 59 bulan di kali 100 %.</t>
  </si>
  <si>
    <t xml:space="preserve">jumlah ibu hamil yang mendapat minimal 90 Tablet Tambah darah di bagi Jumlah ibu hamil yang ada di kali 100 %. </t>
  </si>
  <si>
    <r>
      <t>2.1.4.2. Penanggulangan Gangguan Gizi</t>
    </r>
    <r>
      <rPr>
        <sz val="12"/>
        <rFont val="Tahoma"/>
        <family val="2"/>
      </rPr>
      <t> </t>
    </r>
  </si>
  <si>
    <t xml:space="preserve">Jumlah balita gizi kurang mendapat makanan tambahan  di bagi jumlah seluruh balita gizi kurang di kali 100 % . </t>
  </si>
  <si>
    <t xml:space="preserve">Jumlah ibu hamil KEK yang mendapat makanan tambahan di bagi Jumlah sasaran ibu hamil KEK yang ada di kali 100 % . </t>
  </si>
  <si>
    <t>Jumlah gizi buruk pada bayi 0-5 bulan + balita 6 - 59 bulan yang mendapat perawatan di bagi Jumlah seluruh gizi buruk pada balita 0-59 bulan di kali 100 % .</t>
  </si>
  <si>
    <t xml:space="preserve">jumlah kasus yang di tangani (12 kasus )  di bagi jumlah dokumen yang di buat  (12 dokumen ) </t>
  </si>
  <si>
    <t>12  dokumen 
( 100 % )</t>
  </si>
  <si>
    <t>Jumlah balita di timbang (D) di bagi Jumlah Balita yang ada (S) di kali 100 %</t>
  </si>
  <si>
    <t>Jumlah balita naik berat badannya (N) di bagi Jumlah seluruh balita yang di timbang (D ) di kali 100 %</t>
  </si>
  <si>
    <t xml:space="preserve">Jumlah bayi usia 6 bulan  mendapat ASI Eksklusif di bagi jumlah bayi usia 6 bulan di kali 100 %  </t>
  </si>
  <si>
    <t>Jumlah bayi baru lahir hidup yang mendapat IMD di bagi Jumlah seluruh bayi baru lahir hidup di kali 100 %</t>
  </si>
  <si>
    <r>
      <t>2.1.5.1. Diare</t>
    </r>
    <r>
      <rPr>
        <sz val="12"/>
        <rFont val="Tahoma"/>
        <family val="2"/>
      </rPr>
      <t> </t>
    </r>
  </si>
  <si>
    <t>Jumlah balita Diare yang ditemukan dibagi target dikali 100%                                                             Target = (20% x 843/1000)  x jumlah balita  (sesuai BPS) di wilayah kerja Puskesmas</t>
  </si>
  <si>
    <t xml:space="preserve"> Jumlah penderita diare balita yang diberi oralit di fasilitas pelayanan kesehatan   dibagi total penderita diare balita di faskes pelayanan kesehatan dikali 100 %</t>
  </si>
  <si>
    <t>Jumlah penderita diare balita yang diberi tablet Zinc  di fasilitas pelayanan kesehatan dibagi total penderita diare balita di faskes pelayanan kesehatan dikali 100 %</t>
  </si>
  <si>
    <t>Jumlah penderita Pnemonia balita yang ditangani dibagi target balita dikali 100%.                                                                                                                                                                                                           Target balita =  4,45 % x (10%x jumlah penduduk)</t>
  </si>
  <si>
    <t xml:space="preserve">Jumlah kontak dari kasus Kusta  baru yang diperiksa dalam 1 (satu) tahun dibagi  jumlah kontak dari kasus Kusta baru seluruhnya dikali 100% </t>
  </si>
  <si>
    <t>Jumlah penderita baru PB 1 (satu) tahun sebelumnya dan MB 2 (dua) tahun sebelumnya yang menyelesaikan pengobatan  dibagi jumlah penderita baru PB 1 (satu) tahun sebelumnya dan MB 2 (dua) tahun sebelumnya yang seharusnya menyelesaikan pengobatan dikali 100%,</t>
  </si>
  <si>
    <t>Jumlah tenaga kesehatan telah mendapat sosialisasi kusta dibagi jumlah seluruh tenaga kesehatan  dikali 100%</t>
  </si>
  <si>
    <t>Jumlah kader  Posyandu  telah mendapat sosialisasi  kusta dibagi jumlah seluruh kader Posyandu  dikali 100%</t>
  </si>
  <si>
    <t>Jumlah  sekolah (SMP dan SMA/sederajat)  yang mendapatkan penyuluhan HIV/AIDS dibagi jumlah seluruh sekolah (SMP dan SMA/sederajat) di wilayah kerja Puskesmas dikali 100%</t>
  </si>
  <si>
    <t>Jumlah orang yang beresiko terinfeksi HIV dibagi jumlah orang beresiko terinfeksi HIV yang mendapatkan pemeriksaan HIV sesuai standar di Puskesmas dan jaringannya dalam kurun waktu 1 tahun dikali 100%</t>
  </si>
  <si>
    <t>Jumlah  rumah bebas jentik dibagi jumlah rumah yang diperiksa jentiknya dikali 100 %</t>
  </si>
  <si>
    <t xml:space="preserve">Jumlah kasus DBD yang ditangani sesuai standar Tatalaksana Pengobatan DBD dibagi dengan jumlah seluruh DBD yang terlaporkan di wilayah Puskesmas dikali 100%                                                  Catatan: tidak dihitung sebagai pembagi bila  tidak ada kasus </t>
  </si>
  <si>
    <t xml:space="preserve">Jumlah kasus klinis Malaria yang diperiksa SD nya secara laboratorium dibagi jumlah suspect kasus Malaria dikali 100%                                               </t>
  </si>
  <si>
    <t>Jumlah penderita Malaria yang mendapat pengobatan ACT sesuai jenis Plasmodium dibagi jumlah kasus Malaria dikali 100 %</t>
  </si>
  <si>
    <t>Jumlah kasus malaria yang telah dilakukan follow up pengobatannya pada hari ke 3, 7, 14 dan 28 sampai hasil pemeriksaan laboratoriumnya negatif  dibagi jumlah kasus malaria dikali 100 %</t>
  </si>
  <si>
    <t>Jumlah kasus gigitan HPR yang dilakukan cuci luka dibagi jumlah kasus gigitan HPR dikali 100 %</t>
  </si>
  <si>
    <t xml:space="preserve">Jumlah kasus gigitan HPR terindikasi yang mendapatkan vaksinasi dibagi jumlah kasus gigitan HPR terindikasi dikali 100%                       </t>
  </si>
  <si>
    <t>8.</t>
  </si>
  <si>
    <t>Jumlah bulan pemantauan (grafik) suhu lemari es pagi dan sore tiap hari (lengkap harinya,VVM dan alarm dingin) dibagi jumlah bulan dalam setahun (12) dikali 100 %</t>
  </si>
  <si>
    <t>Jumlah laporan KIPI non serius dibagi jumlah laporan 12 bulan dikali 100 %</t>
  </si>
  <si>
    <t>Jumlah laporan STP tepat waktu (Ketepatan waktu) dibagi jumlah laporan (12 bulan) dikali 100 %</t>
  </si>
  <si>
    <t>Sekolah yang ada di wilayah Puskesmas  melaksanakan KTR</t>
  </si>
  <si>
    <t>Jumlah sekolah yang ada di wilayah Puskesmas melaksanakan KTR dibagi jumlah sekolah di wilayah Puskesmas dikali 100% (SD, SMP, SMA dan yang sederajat)</t>
  </si>
  <si>
    <t>Persentase merokok penduduk usia 10 - 18 tahun</t>
  </si>
  <si>
    <t>Jumlah penduduk usia 10-18 tahun yag merokok diwilayah kerja puskesmas dibagi jumlah penduduk usia 10-18 tahun di wilayah puskesmas  dikali 100%</t>
  </si>
  <si>
    <t>FKTP di wilayah puskesmas (puskesmas, dokter praktek mandiri, klinik pratama) yang menyelenggarakan layanan Upaya Berhenti Merokok (UBM) dibagi FKTP di wilayah puskesmas dikali 100%</t>
  </si>
  <si>
    <t>Jumlah orang usia 15 - 59 tahun di puskesmas yang mendapat pelayanan skrining kesehatan sesuai standar dalam kurun waktu satu tahun dibagi jumlah orang usia 15 - 59 tahun di wilayah kerja puskesmas dalam kurun waktu satu tahun yang sama dikali 100%</t>
  </si>
  <si>
    <t>Jumlah orang usia ≥ 15 tahun di puskesmas yang mendapat pelayanan deteksi dini faktor risiko PTM dalam kurun waktu satu tahun dibagi jumlah orang usia ≥ 15 tahun di wilayah kerja puskesmas dalam kurun waktu satu tahun yang sama dikali 100%</t>
  </si>
  <si>
    <t xml:space="preserve"> Jumlah perempuan usia 30-50 tahun atau perempuan  yang memiliki riwayat sexual aktif yang telah dilaksanakan pemeriksaan IVA tes / papsmear / metode lainnya dan SADANIS dibagi jumlah perempuan usia 30-50 tahun (tahun 2020) kali 100 %
Catatan : Capaian tahun 2022 merupakan akumulasi capaian tahun 2020 + tahun 2021 + tahun 2022</t>
  </si>
  <si>
    <t xml:space="preserve">Keluarga binaan  yang mendapatkan asuhan keperawatan </t>
  </si>
  <si>
    <t>Keluarga yang dibina dan telah Mandiri/ memenuhi kebutuhan kesehatan</t>
  </si>
  <si>
    <t>Keluarga yang dibina dan telah Mandiri/mencapai KM IV, dibagi jumlah seluruh keluarga yang dibina, dikali 100%</t>
  </si>
  <si>
    <t xml:space="preserve">Kelompok binaan yang mendapatkan asuhan keperawatan </t>
  </si>
  <si>
    <t>Kelompok yang dibina dibagi jumlah kelompok yang ada, dikali 100 %</t>
  </si>
  <si>
    <t>Desa/kelurahan binaan yang mendapatkan asuhan keperawatan</t>
  </si>
  <si>
    <t>Desa/kelurahan yang dibina dibagi desa/kelurahan yang ada, dikali 100 %</t>
  </si>
  <si>
    <t>Indikator UKM Esensial Dan Perkesmas</t>
  </si>
  <si>
    <t>Instrumen Penghitungan  Kinerja  Administrasi dan Manajemen  Puskesmas</t>
  </si>
  <si>
    <t>Poskesdes/    Poskeskel</t>
  </si>
  <si>
    <t>Orang</t>
  </si>
  <si>
    <t>Desa/Kel</t>
  </si>
  <si>
    <t>Ibu hamil</t>
  </si>
  <si>
    <t xml:space="preserve">Anak </t>
  </si>
  <si>
    <t xml:space="preserve">Rumah </t>
  </si>
  <si>
    <t>Keluarga</t>
  </si>
  <si>
    <t>Kelompok Masyarakat</t>
  </si>
  <si>
    <t xml:space="preserve">INSTRUMEN PENGHITUNGAN KINERJA UKM ESENSIAL DAN PERKESMAS </t>
  </si>
  <si>
    <t>Lampiran 4</t>
  </si>
  <si>
    <t>2.2.1.Pelayanan Kesehatan Gigi Masyarakat</t>
  </si>
  <si>
    <t xml:space="preserve">PAUD dan TK yang mendapat penyuluhan/pemeriksaan gigi dan mulut </t>
  </si>
  <si>
    <t>Kunjungan ke Posyandu terkait kesehatan gigi dan mulut</t>
  </si>
  <si>
    <t>Hasil pemeriksaan kesehatan jamaah haji 3 bulan sebelum operasional terdata.</t>
  </si>
  <si>
    <t>Penyehat Tradisional  yang memiliki STPT</t>
  </si>
  <si>
    <t>Kelompok Asuhan Mandiri yang terbentuk</t>
  </si>
  <si>
    <t>Panti Sehat berkelompok yang berijin</t>
  </si>
  <si>
    <t>Pembinaan Penyehat Tradisional</t>
  </si>
  <si>
    <t>Kelompok /klub olahraga yang dibina</t>
  </si>
  <si>
    <t xml:space="preserve">Pengukuran Kebugaran Calon Jamaah Haji </t>
  </si>
  <si>
    <t>Puskemas menyelenggarakan pelayanan kesehatan Olahraga internal</t>
  </si>
  <si>
    <t>Pengukuran  kebugaran Anak Sekolah</t>
  </si>
  <si>
    <t>Puskesmas menyelenggarakan K3 Puskesmas (internal)</t>
  </si>
  <si>
    <t>Puskesmas menyelenggarakan pembinaan K3 perkantoran</t>
  </si>
  <si>
    <t xml:space="preserve">Promotif dan preventif yang dilakukan pada kelompok kesehatan kerja </t>
  </si>
  <si>
    <t xml:space="preserve">Edukasi dan Pemberdayaan masyarakat tentang obat pada Gerakan masyarakat cerdas menggunakan obat </t>
  </si>
  <si>
    <t xml:space="preserve">Kader  aktif pada kegiatan Edukasi dan Pemberdayaan masyarakat tentang obat pada Gerakan masyrakat cerdas menggunakan obat </t>
  </si>
  <si>
    <t>Jumlah wilayah yang dilakukan Kegiatan   Gerakan Masyarakat Cerdas Menggunakan Obat</t>
  </si>
  <si>
    <t xml:space="preserve">Jumlah masyarakat yang telah tersosialisasikan gema cermat </t>
  </si>
  <si>
    <t>Instrumen Penghitungan Kinerja UKM Pengembangan Puskesmas</t>
  </si>
  <si>
    <t xml:space="preserve">Total Sasaran </t>
  </si>
  <si>
    <t xml:space="preserve">Target Sasaran       </t>
  </si>
  <si>
    <t>%Cakupan Riil</t>
  </si>
  <si>
    <t>Program</t>
  </si>
  <si>
    <t>UKM Pengembangan</t>
  </si>
  <si>
    <t>2.3.1. Pelayanan Non Rawat Inap</t>
  </si>
  <si>
    <t>≥150 per mil</t>
  </si>
  <si>
    <t xml:space="preserve"> 2.</t>
  </si>
  <si>
    <t>Rasio Rujukan Rawat Jalan Kasus Non Spesialistik (RRNS)</t>
  </si>
  <si>
    <t xml:space="preserve">≤2% </t>
  </si>
  <si>
    <t xml:space="preserve">Rasio Peserta Prolanis Terkendali (RPPT) </t>
  </si>
  <si>
    <t>≥ 5%</t>
  </si>
  <si>
    <r>
      <t xml:space="preserve">Pelayanan Kesehatan Penderita Hipertensi </t>
    </r>
    <r>
      <rPr>
        <b/>
        <sz val="12"/>
        <rFont val="Tahoma"/>
        <family val="2"/>
      </rPr>
      <t xml:space="preserve"> (Standar Pelayanan Minimal ke 8)</t>
    </r>
  </si>
  <si>
    <r>
      <t xml:space="preserve">Pelayanan Kesehatan Penderita Diabetes Mellitus </t>
    </r>
    <r>
      <rPr>
        <b/>
        <sz val="12"/>
        <rFont val="Tahoma"/>
        <family val="2"/>
      </rPr>
      <t>(Standar Pelayanan Minimal ke 9)</t>
    </r>
  </si>
  <si>
    <t xml:space="preserve">Rasio gigi tetap yang ditambal terhadap gigi tetap yang dicabut </t>
  </si>
  <si>
    <t xml:space="preserve">  &gt;1</t>
  </si>
  <si>
    <t>Bumil yang mendapat pelayanan kesehatan gigi</t>
  </si>
  <si>
    <r>
      <t xml:space="preserve">Kelengkapan pengisian </t>
    </r>
    <r>
      <rPr>
        <i/>
        <sz val="12"/>
        <rFont val="Tahoma"/>
        <family val="2"/>
      </rPr>
      <t xml:space="preserve">informed consent </t>
    </r>
  </si>
  <si>
    <t>Kesesuaian item obat yang tersedia dalam Fornas</t>
  </si>
  <si>
    <t>2 .</t>
  </si>
  <si>
    <t>Penggunaan antibiotika pada penatalaksanaan ISPA non pneumonia</t>
  </si>
  <si>
    <t xml:space="preserve"> ≤ 20 %</t>
  </si>
  <si>
    <t>Penggunaan antibiotika pada penatalaksanaan kasus diare non spesifik</t>
  </si>
  <si>
    <t xml:space="preserve"> ≤ 8 %</t>
  </si>
  <si>
    <t xml:space="preserve">Penggunaan  Injeksi pada Myalgia                                         </t>
  </si>
  <si>
    <t xml:space="preserve"> ≤ 1 %</t>
  </si>
  <si>
    <t xml:space="preserve">Rerata item obat yang diresepkan </t>
  </si>
  <si>
    <t xml:space="preserve"> ≤ 2,6</t>
  </si>
  <si>
    <t>Pengkajian resep,pelayanan resep dan pemberian informasi obat</t>
  </si>
  <si>
    <t>Konseling</t>
  </si>
  <si>
    <t>Pelayanan Informasi Obat</t>
  </si>
  <si>
    <t>Kesesuaian jenis pelayanan  laboratorium dengan standar</t>
  </si>
  <si>
    <r>
      <t>Ketepatan waktu tunggu penyerahan hasil pelayanan laboratorium</t>
    </r>
    <r>
      <rPr>
        <u/>
        <sz val="12"/>
        <rFont val="Tahoma"/>
        <family val="2"/>
      </rPr>
      <t xml:space="preserve"> </t>
    </r>
    <r>
      <rPr>
        <sz val="10"/>
        <color rgb="FF000000"/>
        <rFont val="Times New Roman"/>
        <family val="1"/>
      </rPr>
      <t/>
    </r>
  </si>
  <si>
    <t>Kesesuaian hasil pemeriksaan baku mutu internal (PMI)</t>
  </si>
  <si>
    <r>
      <rPr>
        <i/>
        <sz val="12"/>
        <rFont val="Tahoma"/>
        <family val="2"/>
      </rPr>
      <t>Bed Occupation Rate</t>
    </r>
    <r>
      <rPr>
        <sz val="12"/>
        <rFont val="Tahoma"/>
        <family val="2"/>
      </rPr>
      <t>(BOR)</t>
    </r>
  </si>
  <si>
    <t xml:space="preserve"> 10% - 60%</t>
  </si>
  <si>
    <t xml:space="preserve">Kelengkapan pengisian rekam medik rawat inap </t>
  </si>
  <si>
    <t>Angka Kontak Komunikasi</t>
  </si>
  <si>
    <t>Lampiran  10</t>
  </si>
  <si>
    <t>INSTRUMEN PENGHITUNGAN KINERJA UPAYA KESEHATAN PERSEORANGAN PUSKESMAS</t>
  </si>
  <si>
    <t>kasus</t>
  </si>
  <si>
    <t>berkas</t>
  </si>
  <si>
    <t>gigi</t>
  </si>
  <si>
    <t>Kepatuhan Kebersihan Tangan</t>
  </si>
  <si>
    <t>Kepatuhan Penggunaan Alat Pelindung Diri (APD)</t>
  </si>
  <si>
    <t>Kepatuhan Identifikasi Pasien</t>
  </si>
  <si>
    <t>Keberhasilan Pengobatan Pasien TB Semua Kasus Sensitif Obat (SO)</t>
  </si>
  <si>
    <t>Ibu Hamil Yang Mendapatkan Pelayanan ANC Sesuai Standar</t>
  </si>
  <si>
    <t>Kepuasan Pasien</t>
  </si>
  <si>
    <t>Lampiran 11</t>
  </si>
  <si>
    <t>INSTRUMEN PENGHITUNGAN KINERJA MUTU PUSKESMAS</t>
  </si>
  <si>
    <t>Pelayanan Kesehatan/Program/Variabel/Sub Variabel Program</t>
  </si>
  <si>
    <t>Pasien</t>
  </si>
  <si>
    <t xml:space="preserve">Interpretasi rata2  kinerja mutu: </t>
  </si>
  <si>
    <t>≥ 76.61</t>
  </si>
  <si>
    <t>≥ 91%</t>
  </si>
  <si>
    <r>
      <rPr>
        <sz val="12"/>
        <color theme="1"/>
        <rFont val="Calibri"/>
        <family val="2"/>
      </rPr>
      <t>≤</t>
    </r>
    <r>
      <rPr>
        <sz val="12"/>
        <color theme="1"/>
        <rFont val="Tahoma"/>
        <family val="2"/>
      </rPr>
      <t xml:space="preserve"> 80%</t>
    </r>
  </si>
  <si>
    <t xml:space="preserve">Interpretasi rata2  kinerja program UKP: </t>
  </si>
  <si>
    <r>
      <rPr>
        <b/>
        <sz val="12"/>
        <color rgb="FF000000"/>
        <rFont val="Tahoma"/>
        <family val="2"/>
      </rPr>
      <t xml:space="preserve">% Kinerja Puskesmas : </t>
    </r>
    <r>
      <rPr>
        <sz val="12"/>
        <color rgb="FF000000"/>
        <rFont val="Tahoma"/>
        <family val="2"/>
      </rPr>
      <t>pencapaian kinerja Puskesmas dibandingkan Target Sasaran, penilaian ketercapaian target sasaran</t>
    </r>
  </si>
  <si>
    <r>
      <rPr>
        <b/>
        <sz val="12"/>
        <color rgb="FF000000"/>
        <rFont val="Tahoma"/>
        <family val="2"/>
      </rPr>
      <t>%  Kinerja Sub Variabel</t>
    </r>
    <r>
      <rPr>
        <sz val="12"/>
        <color rgb="FF000000"/>
        <rFont val="Tahoma"/>
        <family val="2"/>
      </rPr>
      <t>/Variabel/Program Puskesmas : Pencapaian  ( kolom 7) dibagi Target sasaran ( kolom 6) dikali 100%</t>
    </r>
  </si>
  <si>
    <r>
      <rPr>
        <b/>
        <sz val="12"/>
        <color rgb="FF000000"/>
        <rFont val="Tahoma"/>
        <family val="2"/>
      </rPr>
      <t>% kinerja variabel Puskesmas :</t>
    </r>
    <r>
      <rPr>
        <sz val="12"/>
        <color rgb="FF000000"/>
        <rFont val="Tahoma"/>
        <family val="2"/>
      </rPr>
      <t xml:space="preserve"> penjumlahan % kinerja subvariabel ( kolom 9) dibagi sejumlah subvariabel</t>
    </r>
  </si>
  <si>
    <r>
      <rPr>
        <b/>
        <sz val="12"/>
        <color rgb="FF000000"/>
        <rFont val="Tahoma"/>
        <family val="2"/>
      </rPr>
      <t>% kinerja rata2 program :</t>
    </r>
    <r>
      <rPr>
        <sz val="12"/>
        <color rgb="FF000000"/>
        <rFont val="Tahoma"/>
        <family val="2"/>
      </rPr>
      <t xml:space="preserve"> penjumlahan % kinerja variabel  ( kolom 10) dibagi sejumlah variabel</t>
    </r>
  </si>
  <si>
    <r>
      <rPr>
        <b/>
        <sz val="12"/>
        <color rgb="FF000000"/>
        <rFont val="Tahoma"/>
        <family val="2"/>
      </rPr>
      <t xml:space="preserve">Rencana Tindak lanjut </t>
    </r>
    <r>
      <rPr>
        <sz val="12"/>
        <color rgb="FF000000"/>
        <rFont val="Tahoma"/>
        <family val="2"/>
      </rPr>
      <t>: berhubungan dengan analisa akar penyebab masalah</t>
    </r>
  </si>
  <si>
    <r>
      <rPr>
        <b/>
        <sz val="12"/>
        <color rgb="FF000000"/>
        <rFont val="Tahoma"/>
        <family val="2"/>
      </rPr>
      <t>Total Sasaran</t>
    </r>
    <r>
      <rPr>
        <sz val="12"/>
        <color rgb="FF000000"/>
        <rFont val="Tahoma"/>
        <family val="2"/>
      </rPr>
      <t xml:space="preserve">: sasaran target keseluruhan (100%), jumlah populasi/area di wilayah kerja </t>
    </r>
  </si>
  <si>
    <r>
      <rPr>
        <b/>
        <sz val="12"/>
        <color rgb="FF000000"/>
        <rFont val="Tahoma"/>
        <family val="2"/>
      </rPr>
      <t>Target Sasaran</t>
    </r>
    <r>
      <rPr>
        <sz val="12"/>
        <color rgb="FF000000"/>
        <rFont val="Tahoma"/>
        <family val="2"/>
      </rPr>
      <t xml:space="preserve"> : kolom 3 (Target tahun 2022) dikali kolom 5 (total sasaran), jml sasaran/area yg akan diberi pelayanan oleh Puskesmas</t>
    </r>
  </si>
  <si>
    <r>
      <rPr>
        <b/>
        <sz val="12"/>
        <color rgb="FF000000"/>
        <rFont val="Tahoma"/>
        <family val="2"/>
      </rPr>
      <t>% cakupan riil :</t>
    </r>
    <r>
      <rPr>
        <sz val="12"/>
        <color rgb="FF000000"/>
        <rFont val="Tahoma"/>
        <family val="2"/>
      </rPr>
      <t xml:space="preserve"> kolom 7  (pencapaian) dibagi kolom 5 (total sasaran) dikali 100%; cakupan sesungguhnya dari tiap program, dibandingkan dengan total sasaran.</t>
    </r>
  </si>
  <si>
    <t xml:space="preserve">2.1.UKM Esensial  dan Perkesmas </t>
  </si>
  <si>
    <t>2.1.6  Pelayanan Keperawatan Kesehatan Masyarakat ( Perkesmas)</t>
  </si>
  <si>
    <t>2.1.1.Pelayanan Promosi Kesehatan   </t>
  </si>
  <si>
    <t>2.1.2. Pelayanan Kesehatan Lingkungan </t>
  </si>
  <si>
    <r>
      <t>2.1.4. Pelayanan Gizi</t>
    </r>
    <r>
      <rPr>
        <sz val="12"/>
        <rFont val="Tahoma"/>
        <family val="2"/>
      </rPr>
      <t> </t>
    </r>
  </si>
  <si>
    <t>2.1.5.Pelayanan Pencegahan dan Pengendalian Penyakit </t>
  </si>
  <si>
    <t>-</t>
  </si>
  <si>
    <t xml:space="preserve"> </t>
  </si>
  <si>
    <t>desa</t>
  </si>
  <si>
    <t>panti sehat</t>
  </si>
  <si>
    <t>Kelompok</t>
  </si>
  <si>
    <t>Kantor</t>
  </si>
  <si>
    <t>kelompok</t>
  </si>
  <si>
    <t>item obat</t>
  </si>
  <si>
    <t>obat</t>
  </si>
  <si>
    <t>resep</t>
  </si>
  <si>
    <t>pemeriksaan</t>
  </si>
  <si>
    <t>1.2.</t>
  </si>
  <si>
    <t>1.1.</t>
  </si>
  <si>
    <t xml:space="preserve">Manajemen Umum </t>
  </si>
  <si>
    <t>Manajemen Peralatan dan Sarana Prasarana</t>
  </si>
  <si>
    <t xml:space="preserve">1.3.  </t>
  </si>
  <si>
    <t>Manajemen Keuangan</t>
  </si>
  <si>
    <t>1.4.</t>
  </si>
  <si>
    <t>Manajemen Sumber Daya Manusia</t>
  </si>
  <si>
    <t>ADMEN</t>
  </si>
  <si>
    <t>2.2 UKM Pengembangan</t>
  </si>
  <si>
    <t>2.3 UKP</t>
  </si>
  <si>
    <t xml:space="preserve">1.5.  </t>
  </si>
  <si>
    <t>Manajemen Pelayanan Kefarmasian (Pengelolaan obat, vaksin, reagen dan bahan habis pakai)</t>
  </si>
  <si>
    <t>UKP</t>
  </si>
  <si>
    <t>Pelayanan Rawat Inap</t>
  </si>
  <si>
    <t>2.3.4</t>
  </si>
  <si>
    <t xml:space="preserve">2.3.3 </t>
  </si>
  <si>
    <t>Pelayanan Kefarmasian</t>
  </si>
  <si>
    <t>2.3.2</t>
  </si>
  <si>
    <t>Pelayanan Gawat Darurat</t>
  </si>
  <si>
    <t>2.3.1</t>
  </si>
  <si>
    <t>Pelayanan Non Rawat Inap</t>
  </si>
  <si>
    <t>2.2.7</t>
  </si>
  <si>
    <t>Pelayanan Kesehatan Kerja</t>
  </si>
  <si>
    <t>2.2.6</t>
  </si>
  <si>
    <t>Pelayanan Kesehatan Olahraga</t>
  </si>
  <si>
    <t>2.2.5</t>
  </si>
  <si>
    <t>Pelayanan Kesehatan Tradisional</t>
  </si>
  <si>
    <t>2.2.4</t>
  </si>
  <si>
    <t>Penanganan Masalah Penyalahgunaan Napza</t>
  </si>
  <si>
    <t>2.2.2</t>
  </si>
  <si>
    <t>2.2.1</t>
  </si>
  <si>
    <t>Pelayanan Kesehatan Gigi Masyarakat</t>
  </si>
  <si>
    <t>2.1.5.1</t>
  </si>
  <si>
    <t>Diare </t>
  </si>
  <si>
    <t>2.1.5.2</t>
  </si>
  <si>
    <t>2.1.5.3</t>
  </si>
  <si>
    <t>TBC</t>
  </si>
  <si>
    <t>Pencegahan dan Penanggulangan PMS dan  HIV/AIDS </t>
  </si>
  <si>
    <t>2.1.5.6</t>
  </si>
  <si>
    <t>Demam Berdarah Dengue  (DBD) </t>
  </si>
  <si>
    <t>2.1.5.7</t>
  </si>
  <si>
    <t>Malaria </t>
  </si>
  <si>
    <t>2.1.5.8</t>
  </si>
  <si>
    <t>Pencegahan dan Penanggulangan Rabies </t>
  </si>
  <si>
    <t>2.1.5.9</t>
  </si>
  <si>
    <t xml:space="preserve">Pelayanan Imunisasi </t>
  </si>
  <si>
    <t>2.1.5.10</t>
  </si>
  <si>
    <t>Pengamatan Penyakit (Surveillance Epidemiology)</t>
  </si>
  <si>
    <t>2.1.5.11</t>
  </si>
  <si>
    <t>Pencegahan dan Pengendalian Penyakit Tidak Menular</t>
  </si>
  <si>
    <t>2.1.4.1</t>
  </si>
  <si>
    <t>Pelayanan Gizi Masyarakat</t>
  </si>
  <si>
    <t>2.1.4.2</t>
  </si>
  <si>
    <t>Penanggulangan Gangguan Gizi </t>
  </si>
  <si>
    <t>2.1.4.3</t>
  </si>
  <si>
    <t>Pemantauan Status Gizi</t>
  </si>
  <si>
    <t>2.1.3.6</t>
  </si>
  <si>
    <t>Pelayanan Keluarga Berencana (KB) </t>
  </si>
  <si>
    <t xml:space="preserve">2.1.3.5  </t>
  </si>
  <si>
    <t>Pelayanan Kesehatan Lansia</t>
  </si>
  <si>
    <t>2.1.3.4</t>
  </si>
  <si>
    <t>Kesehatan Anak Usia Sekolah dan Remaja </t>
  </si>
  <si>
    <t>2.1.3.3</t>
  </si>
  <si>
    <t>Kesehatan Anak Balita dan Anak Prasekolah </t>
  </si>
  <si>
    <t>2.1.3.2</t>
  </si>
  <si>
    <t>Kesehatan Bayi </t>
  </si>
  <si>
    <t>2.1.3.1</t>
  </si>
  <si>
    <t>Kesehatan Ibu</t>
  </si>
  <si>
    <t>2.1.5  Pelayanan Pencegahan dan Pengendalian Penyakit </t>
  </si>
  <si>
    <t xml:space="preserve">2.1.1.1 </t>
  </si>
  <si>
    <t>Pengkajian PHBS (Perilaku Hidup Bersih dan Sehat)  </t>
  </si>
  <si>
    <t>2.1.1.2</t>
  </si>
  <si>
    <t>Tatanan Sehat </t>
  </si>
  <si>
    <t>2.1.1.3</t>
  </si>
  <si>
    <t>Intervensi/ Penyuluhan </t>
  </si>
  <si>
    <t>2.1.1.4</t>
  </si>
  <si>
    <t>Pengembangan UKBM</t>
  </si>
  <si>
    <t xml:space="preserve">2.1.1.5 </t>
  </si>
  <si>
    <t>Pengembangan Desa/Kelurahan Siaga Aktif </t>
  </si>
  <si>
    <t>2.1.1.6</t>
  </si>
  <si>
    <t>Promosi Kesehatan dan Pemberdayaan Masyarakat</t>
  </si>
  <si>
    <t>2.1.2.1</t>
  </si>
  <si>
    <t>Penyehatan Air  </t>
  </si>
  <si>
    <t>2.1.2.2</t>
  </si>
  <si>
    <t>2.1.2.3</t>
  </si>
  <si>
    <t>2.1.2.4</t>
  </si>
  <si>
    <t>Yankesling (Klinik Sanitasi) </t>
  </si>
  <si>
    <t>2.1.2.5</t>
  </si>
  <si>
    <t>Sanitasi Total Berbasis Masyarakat ( STBM ) = Pemberdayaan Masyarakat </t>
  </si>
  <si>
    <t>KINERJA ADMEN</t>
  </si>
  <si>
    <t>KINERJA PUSKESMAS</t>
  </si>
  <si>
    <t xml:space="preserve">KINERJA PROGRAM </t>
  </si>
  <si>
    <t>Petugas</t>
  </si>
  <si>
    <t>Peluang</t>
  </si>
  <si>
    <t>INDIKATOR NASIONAL MUTU PUSKESMAS</t>
  </si>
  <si>
    <t>1</t>
  </si>
  <si>
    <t>2</t>
  </si>
  <si>
    <t>3</t>
  </si>
  <si>
    <t>4</t>
  </si>
  <si>
    <t>5</t>
  </si>
  <si>
    <t>6</t>
  </si>
  <si>
    <t>≥ 85%</t>
  </si>
  <si>
    <t>SASARAN KESELAMATAN PASIEN</t>
  </si>
  <si>
    <t>Kepatuhan melakukan komunikasi efektif</t>
  </si>
  <si>
    <t>Pengelolaan obat-obat yang perlu diwaspadai</t>
  </si>
  <si>
    <t>Mengurangi risiko cedera pada pasien akibat terjatuh</t>
  </si>
  <si>
    <t>Memastikan lokasi pembedahan yang benar, prosedur yang benar, pembedahan pada pasien yang benar pada tindakan/bedah minor</t>
  </si>
  <si>
    <t>Pelaporan insiden</t>
  </si>
  <si>
    <t>PELAPORAN INSIDEN</t>
  </si>
  <si>
    <t>Dokumen</t>
  </si>
  <si>
    <t>Kelengkapan pengisian rekam medik rawat jlan</t>
  </si>
  <si>
    <t>Target Th 2024</t>
  </si>
  <si>
    <t>Target Tahun 2024 (dalam %)</t>
  </si>
  <si>
    <t>Penyehatan Tempat Pengelolaan Pangan (TPP)</t>
  </si>
  <si>
    <t>Pembinaan Tempat Fasilitas Umum ( TFU )  </t>
  </si>
  <si>
    <t>Pencegahan dan Penanggulangan Hepatitis B pada Ibu Hamil</t>
  </si>
  <si>
    <t>ISPA (Infeksi Saluran Pernapasan Akut) </t>
  </si>
  <si>
    <t>2.1.5.4</t>
  </si>
  <si>
    <t>Kusta dan Frambusia</t>
  </si>
  <si>
    <t xml:space="preserve">2.1.5.5 </t>
  </si>
  <si>
    <t>2.1.5.12</t>
  </si>
  <si>
    <t>2.1.5.13 Pelayanan Kesehatan Jiwa</t>
  </si>
  <si>
    <t xml:space="preserve">Kesehatan Matra </t>
  </si>
  <si>
    <t>2.2.3</t>
  </si>
  <si>
    <t xml:space="preserve">Kefarmasian </t>
  </si>
  <si>
    <t>Pencegahan dan Pengendalian Penyakit Jantung dan Pembuluh Darah</t>
  </si>
  <si>
    <t>Pencegahan dan Pengendalian Penyakit Diabetes Melitus dan Gangguan Metabolik</t>
  </si>
  <si>
    <t>Pelayanan Kesehatan Gigi dan Mulut</t>
  </si>
  <si>
    <t>2.3.6</t>
  </si>
  <si>
    <t>2.3.7</t>
  </si>
  <si>
    <t>Pelayanan Laboratorium </t>
  </si>
  <si>
    <t>2.3.8</t>
  </si>
  <si>
    <t>2.4 MUTU</t>
  </si>
  <si>
    <t>2.4.1</t>
  </si>
  <si>
    <t>Indikator Nasional Mutu Puskesmas</t>
  </si>
  <si>
    <t>2.4.2</t>
  </si>
  <si>
    <t>Sasaran Keselamatan Pasien</t>
  </si>
  <si>
    <t>2.4.3</t>
  </si>
  <si>
    <t>Pelaporan Insiden</t>
  </si>
  <si>
    <t xml:space="preserve">Jumlah remaja putri  SMP dan SMA sederajat yang mengkonsumsi tablet tambah darah di bagi jumlah sasaran  jumlah siswi SMP dan SMA sederajat di kali 100 %. </t>
  </si>
  <si>
    <t>Formularium Puskesmas</t>
  </si>
  <si>
    <t>Tersusunnya formularium Puskesmas yang mengacu pada Formularium Nasional termasuk pengaturan ketersediaan obat di jaringan.</t>
  </si>
  <si>
    <t xml:space="preserve">Tidak ada </t>
  </si>
  <si>
    <t>Ada Formularium tidak dilengkapi SK Kepala Puskesmas,  tidak dilengkapi pengaturan ketersediaan obat di jaringan</t>
  </si>
  <si>
    <t>Ada Formularium dilengkapi SK Kepala Puskermas, tidak dilengkapi pengaturan ketersediaan obat di jaringan</t>
  </si>
  <si>
    <t>Ada Formularium dilengkapi SK Kepala Puskermas,  dilengkapi pengaturan ketersediaan obat di jaringan</t>
  </si>
  <si>
    <t>Rencana Kebutuhan Obat (RKO)</t>
  </si>
  <si>
    <t>Tersusunnya Rencana kebutuhan obat untuk pelayanan kesehatan dasar dan program oleh tim penyusunan kebutuhan obat terpadu</t>
  </si>
  <si>
    <t>Tidak ada RKO</t>
  </si>
  <si>
    <t>ada RKO untuk pelayanan kesehatann dasar, tidak mengakomodir obat program, tidak ada Tim penyusunan kebutuhan obat terpadu</t>
  </si>
  <si>
    <t>ada RKO untuk pelayanan kesehatan dasar, mengakomodir obat program, tidak ada Tim penyusunan kebutuhan obat terpadu</t>
  </si>
  <si>
    <t>ada RKO untuk pelayanan kesehatann dasar, mengakomodir obat program, ada Tim penyusunan kebutuhan obat terpadu</t>
  </si>
  <si>
    <t>Ketersediaan obat 40 obat indikator</t>
  </si>
  <si>
    <t>Ketersediaan 5 item vaksin indikator dan vaksin program</t>
  </si>
  <si>
    <t>vial</t>
  </si>
  <si>
    <r>
      <rPr>
        <u/>
        <sz val="12"/>
        <rFont val="Tahoma"/>
        <family val="2"/>
      </rPr>
      <t>Total sasaran :</t>
    </r>
    <r>
      <rPr>
        <sz val="12"/>
        <rFont val="Tahoma"/>
        <family val="2"/>
      </rPr>
      <t xml:space="preserve">
Jumlah penduduk usia ≥ 15 tahun (pada tahun 2022), dikali 1/4.</t>
    </r>
  </si>
  <si>
    <r>
      <rPr>
        <u/>
        <sz val="12"/>
        <rFont val="Tahoma"/>
        <family val="2"/>
      </rPr>
      <t>Total sasaran :</t>
    </r>
    <r>
      <rPr>
        <sz val="12"/>
        <rFont val="Tahoma"/>
        <family val="2"/>
      </rPr>
      <t xml:space="preserve">
Jumlah penduduk total (pada tahun 2022) dikali 0,64% (prevalensi penyandang Gn. Jiwa)</t>
    </r>
  </si>
  <si>
    <r>
      <rPr>
        <u/>
        <sz val="12"/>
        <rFont val="Tahoma"/>
        <family val="2"/>
      </rPr>
      <t>Total sasaran :</t>
    </r>
    <r>
      <rPr>
        <sz val="12"/>
        <rFont val="Tahoma"/>
        <family val="2"/>
      </rPr>
      <t xml:space="preserve">
Jumlah riil pasien pasung di wilayah kerja</t>
    </r>
  </si>
  <si>
    <t>Total sasaran :
Jumlah riil pasien pasung di wilayah kerja</t>
  </si>
  <si>
    <t>Persentase penduduk usia ≥ 15 tahun dengan risiko masalah kesehatan jiwa yang mendapatkan skrining</t>
  </si>
  <si>
    <t>Persentase penyandang gangguan jiwa yang memperoleh layanan di Fasyankes</t>
  </si>
  <si>
    <t>Jumlah kunjungan pasien pasung</t>
  </si>
  <si>
    <t>Persentase kasus pasung yang dilepaskan/dibebaskan</t>
  </si>
  <si>
    <t>Kelompok Asuhan Mandiri yang mendukung Program Prioritas</t>
  </si>
  <si>
    <t>Institusi  Pendidikan</t>
  </si>
  <si>
    <t>Institusi Pendidikan yang memenuhi 8 - 10 indikator PHBS (klasifikasi IV)</t>
  </si>
  <si>
    <t>Jumlah Institusi Pendidikan yang memenuhi 8 - 10 Indikator PHBS Institusi Pendidikan dibagi jumlah sasaran Institusi Pendidikan yang dikaji dikali 100%</t>
  </si>
  <si>
    <t>Pondok Pesantren yang memenuhi 11 - 13 indikator PHBS Pondok Pesantren (Klasifikasi IV)</t>
  </si>
  <si>
    <t>Jumlah Ponpes yang memenuhi 11 - 13 indikator PHBS Ponpes dibagi jumlah Pondok Pesantren yang dikaji dikali 100% Catatan: tidak dihitung sebagai pembagi bila tidak ada Ponpes</t>
  </si>
  <si>
    <t>Kegiatan intervensi pada Kelompok Rumah Tangga ( 4 kl  )</t>
  </si>
  <si>
    <t>Jumlah kegiatan penyuluhan/bentuk intervensi lain terkait 10 indikator PHBS pada rumah tangga melalui Posyandu yang ada di wilayah Puskesmas selama 1 tahun dibagi (4 kali jumlah Posyandu yang ada di wilayah kerja puskesmas) dikali 100 %</t>
  </si>
  <si>
    <t>Kegiatan intervensi pada Institusi Pendidikan ( 2 kl  )</t>
  </si>
  <si>
    <t>Kegiatan intervensi pada Pondok Pesantren ( 2 kl )</t>
  </si>
  <si>
    <t xml:space="preserve">Posyandu  PURI (Purnama Mandiri) </t>
  </si>
  <si>
    <t>Jumlah Posyandu Purnama dan Mandiri dibagi jumlah Posyandu dikali 100%</t>
  </si>
  <si>
    <t>Poskestren Madya, Purnama, Mandiri</t>
  </si>
  <si>
    <t>Poskestren</t>
  </si>
  <si>
    <t>Jumlah Poskestren berstrata Madya Purnama Mandiri dibagi jumlah poskestren yang ada di kali 100%</t>
  </si>
  <si>
    <t>SBH Madya, Purnama, Mandiri</t>
  </si>
  <si>
    <t>SBH</t>
  </si>
  <si>
    <t>Jumlah Pangkalan SBH berstrata Madya Purnama Mandiri dibagi jumlah Pangkalan SBH yang ada di kali 100%</t>
  </si>
  <si>
    <t>98,6%</t>
  </si>
  <si>
    <t xml:space="preserve">Pembinaan Desa/Kelurahan Siaga Aktif 
( 2 kl ) </t>
  </si>
  <si>
    <t xml:space="preserve">Sekolah setingkat SD/MI/SDLB yang melaksanakan skrining kesehatan </t>
  </si>
  <si>
    <t xml:space="preserve">Sekolah setingkat  SMA/MA/SMK/SMALB yang melaksanakan skrining kesehatan </t>
  </si>
  <si>
    <t xml:space="preserve">Sekolah setingkat SMP/MTs/SMPLB yang melaksanakan skrining kesehatan </t>
  </si>
  <si>
    <t>Jumlah sekolah setingkat SD/ MI/ SDLB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</si>
  <si>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Jumlah sekolah setingkat SMP/ MTs/ SMPLB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</si>
  <si>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Jumlah sekolah setingkat SMA/ MA/SMK/SMALB  yang melaksanakan pemeriksaan penjaringan kesehatan di wilayah kerja tertentu dalam kurun waktu tahun ajaran pendidikan dibagi jumlah seluruh sekolah setingkat SMA/MA/SMK/ SMALB  di wilayah kerja tertentu dalam kurun waktu satu tahun ajaran pendidikan yang sama  dikali 100%</t>
  </si>
  <si>
    <t>Jumlah murid kelas 1 sampai dengan kelas 9 (SD/MI dan SMP/MTs) dan usia 7 -15 tahun diluar sekolah (pondok pesantren, panti/LKSA, lapas/LPKA dan lainnya)  yang mendapat pelayanan  kesehatan sesuai standar di wilayah kerja tertentu dalam kurun waktu satu tahun ajaran pendidikan dibagi jumlah semua murid kelas 1 sampai dengan kelas 9 (SD/MI dan SMP/MTs) dan usia 7 -15 tahun diluar sekolah (pondok pesantren, panti/LKSA, lapas/LPKA dan lainnya)   di wilayah kerja tertentu dalam kurun waktu satu tahun ajaran  pendidikan yang sama dikali 100%</t>
  </si>
  <si>
    <t>Pelayanan  kesehatan Anak pra sekolah (5-6 tahun)</t>
  </si>
  <si>
    <t>Kunjungan Pertama Ibu Hamil (K1 Murni)</t>
  </si>
  <si>
    <t xml:space="preserve">Cakupan Pemberian Oralit dan Zinc pada Penderita Diare Balita </t>
  </si>
  <si>
    <t>2.1.5.2. Pencegahan dan Penanggulangan Hepatitis B pada Ibu Hamil</t>
  </si>
  <si>
    <t>Deteksi Dini Hepatitis B pada Ibu Hamil</t>
  </si>
  <si>
    <t>Tatalaksana bu Hamil dengan Hepatitis B Reaktiif</t>
  </si>
  <si>
    <r>
      <t>2.1.5.3. ISPA (Infeksi Saluran Pernapasan Akut</t>
    </r>
    <r>
      <rPr>
        <sz val="12"/>
        <rFont val="Tahoma"/>
        <family val="2"/>
      </rPr>
      <t> </t>
    </r>
  </si>
  <si>
    <t xml:space="preserve">Cakupan Penemuan penderita Pneumonia balita </t>
  </si>
  <si>
    <t>balita</t>
  </si>
  <si>
    <t>Penderita kasus pneumonia yang diobati sesuai standart</t>
  </si>
  <si>
    <t>2.1.5.4.Kusta dan Frambusia</t>
  </si>
  <si>
    <t>&gt;80%</t>
  </si>
  <si>
    <t>Jumlah kader yg disosialisasi dalam waktu 1 thn dibaagi jumlah target kader dlm 1 tahun x 100%</t>
  </si>
  <si>
    <t>Kelengkapan laporan bulanan online frambusia</t>
  </si>
  <si>
    <t>bulan</t>
  </si>
  <si>
    <t>Jumlah laporan frambusia yg masuk dibagi jumlah laporan frambusia yg seharusnya masuk x 100%</t>
  </si>
  <si>
    <t xml:space="preserve">2.1.5.5.TBC </t>
  </si>
  <si>
    <t>Persentase pasien TBC dilakukan Investigasi Kontak</t>
  </si>
  <si>
    <t>Orang yang beresiko terinfeksi HIV mendapatkan pemeriksaan HIV  (Standar Pelayanan Minimal ke 12)</t>
  </si>
  <si>
    <t xml:space="preserve">Penderita positif Malaria yang dilakukan Penyelidikan Epidemiologi (PE) </t>
  </si>
  <si>
    <t>Laporan STP yang tepat waktu dan lengkap</t>
  </si>
  <si>
    <t>Laporan MR01 tepat waktu dan lengkap</t>
  </si>
  <si>
    <t>Ketepatan Laporan W2 (format SKDR)</t>
  </si>
  <si>
    <t>Kelengkapan laporan W2 (format SKDR)</t>
  </si>
  <si>
    <t>Desa/ Kelurahan yang mengalami KLB ditanggulangi dalam waktu kurang dari 24 (dua puluh empat) jam</t>
  </si>
  <si>
    <t>&gt;90 %</t>
  </si>
  <si>
    <t>Jumlah laporan MR01 tepat waktu dibagi jumlah laporan (12 bulan) dikali 100 %</t>
  </si>
  <si>
    <t>Jumlah laporan W2 (format SKDR) yang masuk dari unit pelapor puskesmas, rumah sakit) secara tepat waktu dibagi jumlah unit pelapor (puskesmas, rumah sakit dikali 100 %</t>
  </si>
  <si>
    <t>Jumlah laporan W2 (format SKDR) yang masuk dari unit pelapor puskesmas, rumah sakit) dibagi jumlah laporan yang harus masuk dari unit pelapor (puskesmas, rumah sakit dikali 100 %</t>
  </si>
  <si>
    <t xml:space="preserve">Jumlah Alert yang direspons  dibagi jumlah seluruh alert di Puskesmas dalam kurun waktu tertentu dikali 100% </t>
  </si>
  <si>
    <t>Jumlah desa/kelurahan yang mengalami KLB dan ditanggulangi dalam waktu kurang dari 24 (dua puluh empat) jam dibagi jumlah desa/kelurahan yang mengalami KLB dikali 100 %</t>
  </si>
  <si>
    <t>2.1.5.10. Pelayanan Imunisasi</t>
  </si>
  <si>
    <t>Persentase bayi usia
0-11 bulan yang
mendapat Imunisasi
Dasar Lengkap (IDL)</t>
  </si>
  <si>
    <t>UCI desa</t>
  </si>
  <si>
    <t>Persentase bayi usia 0-11 bulan yang mendapat antigen
baru</t>
  </si>
  <si>
    <t>Persentase anak usia 12-24 bulan yang mendapat imunisasi lanjutan baduta</t>
  </si>
  <si>
    <t>Persentase anak yang mendapatkan imunisasi lanjutan lengkap di usia sekolah dasar</t>
  </si>
  <si>
    <t>Persentase wanita usia subur yang memiliki status imunisasi T2+</t>
  </si>
  <si>
    <t>Kelengkapan dan ketepatan laporan pencatatan stock vaksin bersumber aplikasi smile</t>
  </si>
  <si>
    <t>9.</t>
  </si>
  <si>
    <t>Jumlah anak usia 12-24 bulan yang mendapat imunisasi lanjutan baduta (bayi usia di bawah 2 tahun) meliputi 1 dosis imunisasi DPT HB-HiB serta 1 dosis imunisasi Campak Rubela di satu wilayah dalam
kurun waktu 1 tahun, dibagi 90% jumlah anak usia 18-24 bulan (Surviving Infant tahun lalu ) dalam kurun waktu yang sama, dikali 100</t>
  </si>
  <si>
    <t>Jumlah anak usia kelas 5 SD yang mendapat imunisasi lanjutan lengkap yaitu: satu dosis imunisasi DT, satu dosis imunisasi MR, dua dosis Td dalam kurun waktu satu tahun dibagi jumlah anak usia kelas 5 SD/MI/Sederajat selama kurun waktu yang sama dikali 100</t>
  </si>
  <si>
    <t>Jumlah ibu hamil yang sudah memiliki status imunisasi T2+ (berdasarkan hasil skrining maupun pemberian selama masa kehamilan) dalam kurun waktu satutahun, dibagi jumlah ibu hamil
selama kurun waktu yang sama, dikali 100</t>
  </si>
  <si>
    <t>Jumlah laporan pencatatan stock vaksin lengkap dan tepat waktu dibagi jumlah laporan setiap bulan dikali 100 %</t>
  </si>
  <si>
    <t>bayi</t>
  </si>
  <si>
    <t xml:space="preserve"> 2.3.2.Pencegahan dan Pengendalian Penyakit Jantung dan Pembuluh Darah</t>
  </si>
  <si>
    <t xml:space="preserve">Persentase  Penyandang  Hipertensi  Yang Tekanan  Darahnya  Terkendali
</t>
  </si>
  <si>
    <t>2.3.3. Pencegahan dan Pengendalian Penyakit Diabetes Melitus Dan Gangguan Metabolik</t>
  </si>
  <si>
    <t xml:space="preserve">Persentase Penyandang  Diabetes  Melitus  Yang  Gula  Darahnya  Terkendali
</t>
  </si>
  <si>
    <t>Inspeksi Kesehatan Lingkungan Sarana Air Minum (SAM)</t>
  </si>
  <si>
    <t>SAM</t>
  </si>
  <si>
    <t>Jumlah SAM yang di IKL dibagi jumlah SAM yang ada dikali 100 %</t>
  </si>
  <si>
    <t>Sarana Air Minum (SAM) yang telah di IKL</t>
  </si>
  <si>
    <t>Jumlah SAM yang di IKL dengan hasil rendah dan sedang dibagi jumlah SAM yang di IKL dikali 100%</t>
  </si>
  <si>
    <t xml:space="preserve">Sarana Air Minum (SAM) yang diperiksa kualitas airnya </t>
  </si>
  <si>
    <t>Jumlah SAM yang diuji kualitas airnya dibagi jumlah SAM Resiko rendah dan sedang dikali 100%</t>
  </si>
  <si>
    <t>Sarana Air Minum (SAM) yang memenuhi syarat</t>
  </si>
  <si>
    <t>Jumlah SAM yang uji kualitas airnya memenuhi syarat dibagi jumlah SAM yang diuji kualitas airnya</t>
  </si>
  <si>
    <t xml:space="preserve">Pembinaan Tempat Pengelolaan Pangan (TPP) </t>
  </si>
  <si>
    <t>Jumlah TPP yang di IKL dibagi jumlah TPP yang ada dikali 100 %</t>
  </si>
  <si>
    <t xml:space="preserve">TPP yang memenuhi syarat kesehatan </t>
  </si>
  <si>
    <t>Jumlah TPP yang memenuhi syarat kesehatan  dibagi jumlah TPP yang dibina dikali 100 %</t>
  </si>
  <si>
    <t>2.1.2.2.Penyehatan Tempat Pengelolaan Pangan (TPP)</t>
  </si>
  <si>
    <t>Pembinaan sarana TFU Prioritas</t>
  </si>
  <si>
    <t>TFU</t>
  </si>
  <si>
    <t>Jumlah TFU Prioritas yang dibina dibagi jumlah TFU Prioritas yang terdaftar dikali 100 %</t>
  </si>
  <si>
    <t xml:space="preserve">TFU Prioritas yang memenuhi syarat kesehatan </t>
  </si>
  <si>
    <t>Jumlah TFU Prioritas yang memenuhi syarat kesehatan dibagi jumlah TFU Prioritas yang terdaftar dikali 100 %</t>
  </si>
  <si>
    <r>
      <t xml:space="preserve">2.1.2.3.Pembinaan Tempat Fasilitas Umum ( TFU ) </t>
    </r>
    <r>
      <rPr>
        <sz val="12"/>
        <rFont val="Tahoma"/>
        <family val="2"/>
      </rPr>
      <t> </t>
    </r>
  </si>
  <si>
    <t>Jumlah IKL sarana pasien PBL yang dikonseling dibagi dengan jumlah pasien yang dikonseling dikali 100%</t>
  </si>
  <si>
    <t>Intervensi terhadap pasien PBL yang di IKL</t>
  </si>
  <si>
    <t>Jumlah pasien PBL yang menindaklanjuti hasil inspeksi dibagi jumlah pasien PBL yang di IKL dikali 100%</t>
  </si>
  <si>
    <t>Desa/ Kelurahan Implementasi STBM 5 Pilar</t>
  </si>
  <si>
    <t>Jumlah Desa/Kelurahan implementasi STBM 5 Pilar dibagi jumlah desa/kelurahan yang ada dikali 100%</t>
  </si>
  <si>
    <t>Desa/ Kelurahan ber STBM 5 Pilar</t>
  </si>
  <si>
    <t>Jumlah Desa/ Kelurahan STBM 5 Pilar dibagi jumlah Desa/ Kelurahan yang ada dikali 100 %</t>
  </si>
  <si>
    <t xml:space="preserve">5. </t>
  </si>
  <si>
    <t>Persentase Alert yang direspon peringatan ini KLB/Wabah (alert systems) minimal 80% di Puskesmas</t>
  </si>
  <si>
    <t>2.3.5. Rekam Medik Rawat Jalan</t>
  </si>
  <si>
    <t>2.3.6. Pelayanan Gawat Darurat</t>
  </si>
  <si>
    <t>2.3.7. Pelayanan Kefarmasian</t>
  </si>
  <si>
    <t>2.3.8.Pelayanan laboratorium </t>
  </si>
  <si>
    <t>2.3.9.Pelayanan Rawat Inap</t>
  </si>
  <si>
    <t>2.3.4. Pelayanan Gigi dan Mulut</t>
  </si>
  <si>
    <r>
      <rPr>
        <b/>
        <sz val="12"/>
        <color rgb="FF000000"/>
        <rFont val="Tahoma"/>
        <family val="2"/>
      </rPr>
      <t xml:space="preserve">Target tahun 2024 </t>
    </r>
    <r>
      <rPr>
        <sz val="12"/>
        <color rgb="FF000000"/>
        <rFont val="Tahoma"/>
        <family val="2"/>
      </rPr>
      <t>( dalam %) atau tahun berjalan</t>
    </r>
  </si>
  <si>
    <r>
      <rPr>
        <b/>
        <sz val="12"/>
        <color rgb="FF000000"/>
        <rFont val="Tahoma"/>
        <family val="2"/>
      </rPr>
      <t xml:space="preserve">Target tahun 2024 </t>
    </r>
    <r>
      <rPr>
        <sz val="12"/>
        <color rgb="FF000000"/>
        <rFont val="Tahoma"/>
        <family val="2"/>
      </rPr>
      <t>(dalam %) atau tahun berjalan</t>
    </r>
  </si>
  <si>
    <r>
      <rPr>
        <sz val="12"/>
        <color theme="1"/>
        <rFont val="Tahoma"/>
        <family val="2"/>
      </rPr>
      <t xml:space="preserve">Keluarga yang dibina dan mendapat Asuhan Keperawatan, dibagi jumlah keluarga yang mempunyai masalah kesehatan dikali 100 %                                              </t>
    </r>
    <r>
      <rPr>
        <b/>
        <sz val="12"/>
        <color theme="1"/>
        <rFont val="Tahoma"/>
        <family val="2"/>
      </rPr>
      <t xml:space="preserve">  </t>
    </r>
  </si>
  <si>
    <t>Jumlah balita pendek  dan sangat pendek di bagi Jumlah balita yang diukur panjang /tinggi badan di kali 100 % .</t>
  </si>
  <si>
    <t>2.1.1.Upaya Promosi Kesehatan   </t>
  </si>
  <si>
    <r>
      <rPr>
        <b/>
        <sz val="12"/>
        <color rgb="FF000000"/>
        <rFont val="Tahoma"/>
        <family val="2"/>
      </rPr>
      <t>Target Sasaran</t>
    </r>
    <r>
      <rPr>
        <sz val="12"/>
        <color rgb="FF000000"/>
        <rFont val="Tahoma"/>
        <family val="2"/>
      </rPr>
      <t xml:space="preserve">  = kolom 3 ( Target tahun 2024) dikali kolom 5 (total sasaran), jml sasaran/area yg akan diberi pelayanan oleh Puskesmas</t>
    </r>
  </si>
  <si>
    <r>
      <rPr>
        <b/>
        <sz val="11"/>
        <color theme="1"/>
        <rFont val="Tahoma"/>
        <family val="2"/>
      </rPr>
      <t>Ketercapaian target</t>
    </r>
    <r>
      <rPr>
        <sz val="11"/>
        <color theme="1"/>
        <rFont val="Tahoma"/>
        <family val="2"/>
      </rPr>
      <t xml:space="preserve"> tahun 2024 : membandingkan % target tahun 2024 ( kolom 3) dengan % capaian riil ( kolom 8)</t>
    </r>
  </si>
  <si>
    <t>sekolah</t>
  </si>
  <si>
    <t>2.1.3 Pelayanan Kesehatan Keluarga</t>
  </si>
  <si>
    <t xml:space="preserve">2.1.3 Pelayanan Kesehatan Keluarga </t>
  </si>
  <si>
    <r>
      <t>2.1.5.6.Pencegahan dan Penanggulangan PMS dan  HIV/AIDS</t>
    </r>
    <r>
      <rPr>
        <sz val="12"/>
        <rFont val="Tahoma"/>
        <family val="2"/>
      </rPr>
      <t> </t>
    </r>
  </si>
  <si>
    <r>
      <t>2.1.5.7. Demam Berdarah Dengue  (DBD)</t>
    </r>
    <r>
      <rPr>
        <sz val="12"/>
        <rFont val="Tahoma"/>
        <family val="2"/>
      </rPr>
      <t> </t>
    </r>
  </si>
  <si>
    <r>
      <t>2.1.5.8. Malaria</t>
    </r>
    <r>
      <rPr>
        <sz val="12"/>
        <rFont val="Tahoma"/>
        <family val="2"/>
      </rPr>
      <t> </t>
    </r>
  </si>
  <si>
    <r>
      <t>2.1.5.9. Pencegahan dan Penanggulangan Rabies</t>
    </r>
    <r>
      <rPr>
        <sz val="12"/>
        <rFont val="Tahoma"/>
        <family val="2"/>
      </rPr>
      <t> </t>
    </r>
  </si>
  <si>
    <t>2.1.5.12.Pencegahan dan Pengendalian Penyakit Tidak Menular</t>
  </si>
  <si>
    <t>2.1.5.11.Pengamatan Penyakit (Surveillance Epidemiology)</t>
  </si>
  <si>
    <t xml:space="preserve">2.2.3. Pelayanan Kesehatan Matra </t>
  </si>
  <si>
    <t>2.2.4.Pelayanan Kesehatan Tradisional</t>
  </si>
  <si>
    <t>2.2.2. Penanganan Masalah Penyalahgunaan Napza</t>
  </si>
  <si>
    <t>2.2.5.Pelayanan Kesehatan Olahraga</t>
  </si>
  <si>
    <t>2.2.6. Pelayanan Kesehatan Kerja</t>
  </si>
  <si>
    <t xml:space="preserve">2.2.7. Pelayanan Kefarmasian </t>
  </si>
  <si>
    <t> 2.</t>
  </si>
  <si>
    <t> 1.</t>
  </si>
  <si>
    <r>
      <rPr>
        <b/>
        <sz val="12"/>
        <color theme="1"/>
        <rFont val="Tahoma"/>
        <family val="2"/>
      </rPr>
      <t>Ketercapaian target</t>
    </r>
    <r>
      <rPr>
        <sz val="12"/>
        <color theme="1"/>
        <rFont val="Tahoma"/>
        <family val="2"/>
      </rPr>
      <t xml:space="preserve"> tahun 2024 : membandingkan % target tahun 2024 ( kolom 3) dengan % capaian riil ( kolom 8)</t>
    </r>
  </si>
  <si>
    <t>2.3</t>
  </si>
  <si>
    <t>Rekam Medik Rawat Jalan</t>
  </si>
  <si>
    <t xml:space="preserve">2.3.5 </t>
  </si>
  <si>
    <t>2.3.9</t>
  </si>
  <si>
    <t>2.4</t>
  </si>
  <si>
    <t>MUTU</t>
  </si>
  <si>
    <t xml:space="preserve">Jumlah kasus TBC yang ditemukan, dicatat dan dilaporkan dibagi jumlah insiden kasus TBC  dikali 100%.     
</t>
  </si>
  <si>
    <r>
      <t xml:space="preserve">Jumlah orang terduga TBC yang  mendapatkan pelayanan TBC sesuai standar di fasyankes dalam kurun waktu satu tahun dibagi Jumlah perkiraan (estimasi) orang Terduga TBC dalam kurun waktu satu tahun dikali 100%                                                                                           </t>
    </r>
    <r>
      <rPr>
        <b/>
        <sz val="12"/>
        <color theme="1"/>
        <rFont val="Tahoma"/>
        <family val="2"/>
      </rPr>
      <t>Perhitungan estimasi</t>
    </r>
    <r>
      <rPr>
        <sz val="12"/>
        <color theme="1"/>
        <rFont val="Tahoma"/>
        <family val="2"/>
      </rPr>
      <t xml:space="preserve"> orang terduga TBC = target penemuan x 54% x 10 </t>
    </r>
  </si>
  <si>
    <t>Jumlah  pasien TBC yang sembuh dan pengobatan lengkap  dibagi jumlah semua kasus TBC yang diobati, dicatat dan dilaporkan dikali 100%</t>
  </si>
  <si>
    <t>Jumlah TBC yang dilakukan investigasi kontak dibagi jumlah semua pasien TBC yang diobati, dicatat dan dilaporkan dikali 100%</t>
  </si>
  <si>
    <t>Cakupan Penemuan Kasus TBC</t>
  </si>
  <si>
    <t>Persentase sekolah yang mendapatkan sosialisasi/penyuluhan tentang pencegahan       &amp; penanggulangan bahaya penyalahgunaan NAPZA</t>
  </si>
  <si>
    <t>100 %</t>
  </si>
  <si>
    <t>Fasyankes yang ada di wilayah Puskesmas  melaksanakan KTR</t>
  </si>
  <si>
    <t>Fasyankes</t>
  </si>
  <si>
    <t>Tempat Anak Bermain yang ada di wilayah Puskesmas  melaksanakan KTR</t>
  </si>
  <si>
    <t xml:space="preserve"> &lt; 8,8 %</t>
  </si>
  <si>
    <t>Puskesmas menyelenggarakan layanan Upaya  Berhenti Merokok (UBM)</t>
  </si>
  <si>
    <t>Deteksi Dini Penyakit Diabetes Melitus</t>
  </si>
  <si>
    <t xml:space="preserve">Deteksi Dini Obesitas </t>
  </si>
  <si>
    <t>Prosentase Penderita TB yang diperiksa Gula darahnya</t>
  </si>
  <si>
    <t xml:space="preserve">Deteksi Dini Penyakit Hipertensi </t>
  </si>
  <si>
    <t xml:space="preserve">Deteksi Dini Penyakit Jantung </t>
  </si>
  <si>
    <t>Deteksi Dini Stroke</t>
  </si>
  <si>
    <t xml:space="preserve">Deteksi Dini  Penyakit Paru Obstruksi Kronis (PPOK)
</t>
  </si>
  <si>
    <t>Deteksi Dini Kanker Payudara</t>
  </si>
  <si>
    <t>Deteksi Dini  Kanker  Leher Rahim</t>
  </si>
  <si>
    <t>Deteksi Dini Gangguan Indera</t>
  </si>
  <si>
    <t>2.1.5.12.7. Pencegahan dan Pengendalian Gangguan Indera Fungsional</t>
  </si>
  <si>
    <t>2.1.5.12.6 Pencegahan dan Pengendalian Penyakit Kanker dan Kelainan Darah</t>
  </si>
  <si>
    <t>2.1.5.12.5. Pencegahan dan Pengendalian Penyakit Paru Kronik dan Gangguan Imunologi</t>
  </si>
  <si>
    <t>2.1.5.12.4. Pencegahan dan Pengendalian Penyakit Gangguan Otak</t>
  </si>
  <si>
    <t>2.1.5.12.3. Pencegahan dan Pengendalian Penyakit Jantung dan Pembuluh Darah</t>
  </si>
  <si>
    <t>2.1.5.12.2. Pencegahan dan Pengendalian Penyakit Diabetes Melitus Dan Gangguan Metabolik</t>
  </si>
  <si>
    <t>2.1.5.12.1. Pengendalian Penyakit Akibat Tembakau</t>
  </si>
  <si>
    <r>
      <rPr>
        <u/>
        <sz val="12"/>
        <color theme="1"/>
        <rFont val="Tahoma"/>
        <family val="2"/>
      </rPr>
      <t>&gt;</t>
    </r>
    <r>
      <rPr>
        <sz val="12"/>
        <color theme="1"/>
        <rFont val="Tahoma"/>
        <family val="2"/>
      </rPr>
      <t>80%</t>
    </r>
  </si>
  <si>
    <r>
      <rPr>
        <u/>
        <sz val="12"/>
        <color theme="1"/>
        <rFont val="Tahoma"/>
        <family val="2"/>
      </rPr>
      <t>&gt;</t>
    </r>
    <r>
      <rPr>
        <sz val="12"/>
        <color theme="1"/>
        <rFont val="Tahoma"/>
        <family val="2"/>
      </rPr>
      <t>90%</t>
    </r>
  </si>
  <si>
    <r>
      <rPr>
        <u/>
        <sz val="12"/>
        <color theme="1"/>
        <rFont val="Tahoma"/>
        <family val="2"/>
      </rPr>
      <t>&gt;</t>
    </r>
    <r>
      <rPr>
        <sz val="12"/>
        <color theme="1"/>
        <rFont val="Tahoma"/>
        <family val="2"/>
      </rPr>
      <t>95%</t>
    </r>
  </si>
  <si>
    <t>Ket</t>
  </si>
  <si>
    <t>PAUD / TK</t>
  </si>
  <si>
    <t>Posyandu</t>
  </si>
  <si>
    <t>sekolah ( SD, SLTP, SLTA )</t>
  </si>
  <si>
    <t>Bulan</t>
  </si>
  <si>
    <t>SD/MI</t>
  </si>
  <si>
    <t>Kader</t>
  </si>
  <si>
    <t>Desa/Kelurahan</t>
  </si>
  <si>
    <t>Kegiatan</t>
  </si>
  <si>
    <t>jenis Pelayanan</t>
  </si>
  <si>
    <t>Rekam Medis</t>
  </si>
  <si>
    <t>hari</t>
  </si>
  <si>
    <t>kali/ kegiatan</t>
  </si>
  <si>
    <t>UKBM</t>
  </si>
  <si>
    <t>TPP</t>
  </si>
  <si>
    <t>SD/MI/SDLB</t>
  </si>
  <si>
    <t>SMP/MTs/SMPLB</t>
  </si>
  <si>
    <t>SMA/MA/SMK/SMALB</t>
  </si>
  <si>
    <t xml:space="preserve">Remaja Putri SMP dan SMA </t>
  </si>
  <si>
    <t xml:space="preserve">Puskesmas </t>
  </si>
  <si>
    <t>Tempat bermain ( PAUD, TK, Taman Kota )</t>
  </si>
  <si>
    <t xml:space="preserve">orang </t>
  </si>
  <si>
    <t>Sekolah</t>
  </si>
  <si>
    <t>Jlmh Peserta Prolanis DM Terkendali</t>
  </si>
  <si>
    <t>Jumlah peserta terdaftar di FKTP dengan DM</t>
  </si>
  <si>
    <t>RPPT DM</t>
  </si>
  <si>
    <t>Jlmh Peserta Prolanis HT Terkendali</t>
  </si>
  <si>
    <t>Jumlah peserta terdaftar di FKTP dengan HT</t>
  </si>
  <si>
    <t>RPPT HT</t>
  </si>
  <si>
    <t>Ket : Saat mengisi RPPT Lihat data feedback dari BPJS setelah itu masukkan di Kolom Bantu Rumus di bawah untuk rasio DM dan HT terkendali  ( Pada Kolom Warna Kuning )</t>
  </si>
  <si>
    <t>REKAP KINERJA PUSKESMAS  KABUPATEN/KOTA MAGETAN TAHUN 2024</t>
  </si>
  <si>
    <t>7,7</t>
  </si>
  <si>
    <t>Pasien HT. DM tidak rutin kontrol</t>
  </si>
  <si>
    <t>Edukasi pasien agar selalu kontrol jika obat habis</t>
  </si>
  <si>
    <t>Cakupan Pelayanan HT di bulan Desember belum mencapai target bulanan</t>
  </si>
  <si>
    <t>Meningkatkan skrining kesehatan di masyarakat</t>
  </si>
  <si>
    <t>Pasien HT tidak rutin kontrol</t>
  </si>
  <si>
    <t>Cakupan Pelayanan DM di bulan Desember belum mencapai target bulanan</t>
  </si>
  <si>
    <t>Pasien DM tidak rutin kontrol</t>
  </si>
  <si>
    <t>Melaksanakan pengkajian PHBS di Rumah Tangga</t>
  </si>
  <si>
    <t>Pengkajian PHBS Rumah Tangga belum mencapai target</t>
  </si>
  <si>
    <t>TPP yang memenuhi syarat kesehatan baru tercapai 88,71% dari target Bulan Desember sebesar 100,00%, Kesenjangan -11,29%</t>
  </si>
  <si>
    <t>Hasil pengambilan sampel air minum di Tempat Pengelolaan Pangan (TPP) ditemukan e-coli sehingga tidak memenuhi syarat</t>
  </si>
  <si>
    <t>Melaksanakan pembinaan terhadap TPP agar menjaga hygiene sanitasi TPP dan memasak air minum hingga benar - benar matang</t>
  </si>
  <si>
    <t>Konseling Sanitasi baru tercapai 78,61% dari Target Bulan Desember sebesar 100,00%, Kesenjangan -21,39%</t>
  </si>
  <si>
    <t>Layanan konseling Klinik Sanitasi belum dilaksanakans secara optimal</t>
  </si>
  <si>
    <t>Menjadwalkan kegiatan layanan klinik sanitasi di jam pelayanan sebelum ke Lapangan</t>
  </si>
  <si>
    <t xml:space="preserve">1.Cakupan kunjungan pertama ibu hamil oleh petugas di wilayah Puskesmas Plaosan  bulan Desember 2024  tercaai 75 % dari target 100 % </t>
  </si>
  <si>
    <t>2. Cakupan persalinan oleh petugas di wilayah Puskesmas Plaosan  bulan Desember 2024 tercapai 66 , 22 % dari target 100 %</t>
  </si>
  <si>
    <t xml:space="preserve">4. Cakupan pelayanan kesehatan bayi 29 hari - 11 bulan di Pusk.Plaosan sampai dengan bulan Desember  2024  masih kurang, baru tercapai  70,66 % dari target 100  %                                                 </t>
  </si>
  <si>
    <t>1. Ada ibu hamil pulang / pindah menjelang persalinan</t>
  </si>
  <si>
    <t xml:space="preserve">2. Masyarakat merasa cukup punya anak 1 saja </t>
  </si>
  <si>
    <t xml:space="preserve">3. Ada beberapa ibu hamil yang abortus </t>
  </si>
  <si>
    <t>1. Sweeping / kunjungan rumah ibu hamil ke desa lebih di tingkatkan</t>
  </si>
  <si>
    <t xml:space="preserve">2. Kerja sama dengan kder kesehatan untuk melaporkan ibu hamil baru ke Pj desa </t>
  </si>
  <si>
    <t>3. Pelaksanaan kelas ibu hamil di desa</t>
  </si>
  <si>
    <t>Kurangnya pengetahuan dan kesadaran orang tua untuk memberikan pelayanan kesehatan sesuai standar bagi bayi</t>
  </si>
  <si>
    <t xml:space="preserve">Cakupan pelayanan kesehatan bayi 29 hari - 11 bulan di Pusk.Plaosan sampai dengan bulan Desember  2024  masih kurang, baru tercapai  70,66 % dari target 100  %                                                 </t>
  </si>
  <si>
    <t>Adanya bayi yang tidak IDL</t>
  </si>
  <si>
    <t>Cakupan Pelayanan kesehatan neonatus pertama ( KN1 ) di Pusk. Plaosan sampai bln  Desember  2024 baru tercapai  70,67 % dari target  100 %</t>
  </si>
  <si>
    <t>Adanya bayi yang pindah alamat domisili</t>
  </si>
  <si>
    <t xml:space="preserve"> Pelaksanaan penyuluhan bagi orang tua dan keluarga tentang pentingnya pelayanan kesehatan sesuai standar bagi bayi</t>
  </si>
  <si>
    <t>Pelaksanaan cross cek data dengan petugas penanggung jawab desa terkait sasaran dan capaian</t>
  </si>
  <si>
    <t>Sweeping / kunjungan rumah bayi yang tidak kontak sesuai standar</t>
  </si>
  <si>
    <t>koordinasi dengan lintas program maupun lintas sektor</t>
  </si>
  <si>
    <t>Kurangnya koordinasi dan kerja sama dengan lintas program maupun lintas sektor</t>
  </si>
  <si>
    <t>Cakupan pelayanan kesehatan lansia oleh petugas di Puskesmas Plaosan pada bulan Desember 2024 masih kurang, baru tercapai 96,74 % dari target 100 %</t>
  </si>
  <si>
    <t>Cakupan pelayanan kesehatan pra lansia oleh petugas di Puskesmas Plaosan pada bulan Desember  2024 masih kurang, baru tercapai 95,31 % dari target 100 %</t>
  </si>
  <si>
    <t>Kurangnya kesadaran lansia untuk periksa kesehatan</t>
  </si>
  <si>
    <t>Kurang optimalnya pemanfaatan pelaksanaan Posyandu lansia</t>
  </si>
  <si>
    <t>Tingkatkan kerjasama lintas sektor dan lintas program</t>
  </si>
  <si>
    <t>Mengoptimalkan kegiatan Posyandu lansia</t>
  </si>
  <si>
    <t>1. Capaian Pemberian 90 tablet besi pada ibu hamil pada bulan Desember 2024 belum tercapai dan memiliki kesenjangan sebesar -18,86%</t>
  </si>
  <si>
    <t>2. Capaian Balita yang ditimbang berat badannya (D/S) bulan Desember 2024 masih belum tercapai dan memiliki kesenjangan sebesar -14,42%</t>
  </si>
  <si>
    <t>3. Capaian Balita ditimbang naik berat badannya (N/D) bulan Desember 2024 masih belum tercapai dan memiliki kesenjangan sebesar -45,37%</t>
  </si>
  <si>
    <t>1. Ada beberapa balita yang tidak berdomisili di wilayah</t>
  </si>
  <si>
    <t>2. Sampai bulan Desember bumil yang ada masih sedikit</t>
  </si>
  <si>
    <t>3. Banyak balita yang naik tetapi tidak sesuai Kenaikan Berat Badan Minimal (KBM)</t>
  </si>
  <si>
    <t>Melakukan pemberian 90 tablet besi kepada semua ibu hamil</t>
  </si>
  <si>
    <t>Melakukan sosialisasi tentang pentingnya pemantauan pertumbuhan balita, PMBA, IMD dan ASI Eksklusif kepada ibu hamil, ibu menyusui dan ibu balita</t>
  </si>
  <si>
    <t>1. Cakupan pencegahan dan penanggulanga hepatitis oleh petugas di Puskesmas Plaosan pada bulan Desember 2024 masih kurang, baru tercapai 86,27% dari target 100%</t>
  </si>
  <si>
    <t>Kunjungan rumah/sweeping ibu hamil yang belum periksa Hepatitis B</t>
  </si>
  <si>
    <t>2. Cakupan imunisasi oleh petugas di Puskesmas Plaosan pada bulan Desember 2024 masih kurang, baru tercapai 87,72% dari target 100%</t>
  </si>
  <si>
    <t>1. Komunikasi antar lintas program belum optimal</t>
  </si>
  <si>
    <t>2. Kurangnya pendataan sasaran imunisasi</t>
  </si>
  <si>
    <t>3. Petugas merangkap untuk beberapa koordinator program sehingga pelayanan kurang optimal</t>
  </si>
  <si>
    <t>4. Kurangnya Kunjungan Rumah/Sweeping/DOFU</t>
  </si>
  <si>
    <t>1. Tingkatkan cross cek data dengan bidan penanggung jawab di desa</t>
  </si>
  <si>
    <t>2. Tingkatkan Sweeping pada waktu Posyandu</t>
  </si>
  <si>
    <t>3. MeLakukan Imunisasi rutin baik imunisasi dasar maupun imunisasi tambahan diPosyandu</t>
  </si>
  <si>
    <t>4. Manfaatkan fungsi Ponkesdes,Polindes,Posyandu untuk pelayanan Imunisasi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</si>
</sst>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0.0"/>
    <numFmt numFmtId="166" formatCode="0.000"/>
    <numFmt numFmtId="168" formatCode="_-* #,##0_-;\-* #,##0_-;_-* &quot;-&quot;_-;_-@_-"/>
    <numFmt numFmtId="177" formatCode="_-* #,##0_-;\-* #,##0_-;_-* &quot;-&quot;_-;_-@"/>
  </numFmts>
  <fonts count="64" x14ac:knownFonts="1">
    <font>
      <sz val="11"/>
      <color theme="1"/>
      <name val="Calibri"/>
      <family val="2"/>
      <scheme val="minor"/>
    </font>
    <font>
      <sz val="11"/>
      <color theme="1"/>
      <name val="Calibri"/>
      <family val="2"/>
      <charset val="1"/>
      <scheme val="minor"/>
    </font>
    <font>
      <sz val="10"/>
      <color rgb="FF000000"/>
      <name val="Times New Roman"/>
      <family val="1"/>
    </font>
    <font>
      <b/>
      <u/>
      <sz val="10"/>
      <color rgb="FF000000"/>
      <name val="Times New Roman"/>
      <family val="1"/>
    </font>
    <font>
      <sz val="12"/>
      <color theme="1"/>
      <name val="Tahoma"/>
      <family val="2"/>
    </font>
    <font>
      <sz val="12"/>
      <name val="Tahoma"/>
      <family val="2"/>
    </font>
    <font>
      <b/>
      <sz val="12"/>
      <name val="Tahoma"/>
      <family val="2"/>
    </font>
    <font>
      <b/>
      <sz val="12"/>
      <color theme="1"/>
      <name val="Tahoma"/>
      <family val="2"/>
    </font>
    <font>
      <u/>
      <sz val="12"/>
      <name val="Tahoma"/>
      <family val="2"/>
    </font>
    <font>
      <i/>
      <sz val="12"/>
      <name val="Tahoma"/>
      <family val="2"/>
    </font>
    <font>
      <b/>
      <sz val="14"/>
      <name val="Tahoma"/>
      <family val="2"/>
    </font>
    <font>
      <sz val="11"/>
      <color indexed="8"/>
      <name val="Calibri"/>
      <family val="2"/>
    </font>
    <font>
      <sz val="12"/>
      <name val="Times New Roman"/>
      <family val="1"/>
    </font>
    <font>
      <b/>
      <sz val="12"/>
      <color rgb="FF000000"/>
      <name val="Tahoma"/>
      <family val="2"/>
    </font>
    <font>
      <sz val="12"/>
      <color rgb="FF000000"/>
      <name val="Tahoma"/>
      <family val="2"/>
    </font>
    <font>
      <i/>
      <sz val="12"/>
      <color rgb="FF000000"/>
      <name val="Tahoma"/>
      <family val="2"/>
    </font>
    <font>
      <u/>
      <sz val="12"/>
      <color rgb="FF000000"/>
      <name val="Tahoma"/>
      <family val="2"/>
    </font>
    <font>
      <i/>
      <sz val="12"/>
      <color theme="1"/>
      <name val="Tahoma"/>
      <family val="2"/>
    </font>
    <font>
      <strike/>
      <sz val="12"/>
      <color theme="1"/>
      <name val="Tahoma"/>
      <family val="2"/>
    </font>
    <font>
      <sz val="11"/>
      <color indexed="8"/>
      <name val="Calibri"/>
      <family val="2"/>
    </font>
    <font>
      <sz val="12"/>
      <name val="Times New Roman"/>
      <family val="1"/>
    </font>
    <font>
      <u/>
      <sz val="12"/>
      <color rgb="FF000000"/>
      <name val="Times New Roman"/>
      <family val="1"/>
    </font>
    <font>
      <sz val="12"/>
      <color rgb="FFFF0000"/>
      <name val="Tahoma"/>
      <family val="2"/>
    </font>
    <font>
      <b/>
      <sz val="14"/>
      <color theme="1"/>
      <name val="Times New Roman"/>
      <family val="1"/>
    </font>
    <font>
      <sz val="10"/>
      <color theme="1"/>
      <name val="Tahoma"/>
      <family val="2"/>
    </font>
    <font>
      <b/>
      <sz val="11"/>
      <color theme="1"/>
      <name val="Tahoma"/>
      <family val="2"/>
    </font>
    <font>
      <sz val="11"/>
      <color theme="1"/>
      <name val="Tahoma"/>
      <family val="2"/>
    </font>
    <font>
      <sz val="14"/>
      <color theme="1"/>
      <name val="Tahoma"/>
      <family val="2"/>
    </font>
    <font>
      <sz val="14"/>
      <color rgb="FF000000"/>
      <name val="Tahoma"/>
      <family val="2"/>
    </font>
    <font>
      <u/>
      <sz val="14"/>
      <color theme="1"/>
      <name val="Tahoma"/>
      <family val="2"/>
    </font>
    <font>
      <sz val="10"/>
      <color rgb="FF000000"/>
      <name val="Tahoma"/>
      <family val="2"/>
    </font>
    <font>
      <sz val="12"/>
      <name val="Arial"/>
      <family val="2"/>
    </font>
    <font>
      <sz val="12"/>
      <color theme="1"/>
      <name val="Calibri"/>
      <family val="2"/>
    </font>
    <font>
      <sz val="12"/>
      <color theme="1"/>
      <name val="Calibri"/>
      <family val="2"/>
      <scheme val="minor"/>
    </font>
    <font>
      <sz val="9"/>
      <color indexed="81"/>
      <name val="Tahoma"/>
      <family val="2"/>
    </font>
    <font>
      <b/>
      <sz val="9"/>
      <color indexed="81"/>
      <name val="Tahoma"/>
      <family val="2"/>
    </font>
    <font>
      <b/>
      <sz val="11"/>
      <color rgb="FF000000"/>
      <name val="Tahoma"/>
      <family val="2"/>
    </font>
    <font>
      <i/>
      <sz val="14"/>
      <color theme="1"/>
      <name val="Tahoma"/>
      <family val="2"/>
    </font>
    <font>
      <sz val="14"/>
      <color rgb="FFFF0000"/>
      <name val="Tahoma"/>
      <family val="2"/>
    </font>
    <font>
      <sz val="12"/>
      <color theme="1"/>
      <name val="Arial"/>
      <family val="2"/>
    </font>
    <font>
      <b/>
      <sz val="11"/>
      <color theme="1"/>
      <name val="Calibri"/>
      <family val="2"/>
      <scheme val="minor"/>
    </font>
    <font>
      <sz val="10"/>
      <name val="Tahoma"/>
      <family val="2"/>
    </font>
    <font>
      <sz val="14"/>
      <name val="Tahoma"/>
      <family val="2"/>
    </font>
    <font>
      <sz val="11"/>
      <name val="Calibri"/>
      <family val="2"/>
    </font>
    <font>
      <sz val="11"/>
      <name val="Calibri"/>
      <family val="2"/>
      <scheme val="minor"/>
    </font>
    <font>
      <sz val="11"/>
      <color theme="1"/>
      <name val="Calibri"/>
      <family val="2"/>
      <scheme val="minor"/>
    </font>
    <font>
      <sz val="12"/>
      <color theme="1"/>
      <name val="Tahoma"/>
      <family val="2"/>
    </font>
    <font>
      <b/>
      <sz val="12"/>
      <color rgb="FF000000"/>
      <name val="Tahoma"/>
      <family val="2"/>
    </font>
    <font>
      <sz val="11"/>
      <name val="Calibri"/>
      <family val="2"/>
    </font>
    <font>
      <u/>
      <sz val="12"/>
      <color theme="1"/>
      <name val="Tahoma"/>
      <family val="2"/>
    </font>
    <font>
      <b/>
      <sz val="12"/>
      <color theme="1"/>
      <name val="Arial"/>
      <family val="2"/>
    </font>
    <font>
      <sz val="9"/>
      <color theme="1"/>
      <name val="Tahoma"/>
      <family val="2"/>
    </font>
    <font>
      <sz val="8"/>
      <color theme="1"/>
      <name val="Tahoma"/>
      <family val="2"/>
    </font>
    <font>
      <sz val="12"/>
      <color theme="1"/>
      <name val="Arial"/>
      <family val="2"/>
    </font>
    <font>
      <sz val="10"/>
      <color rgb="FF000000"/>
      <name val="Calibri"/>
      <scheme val="minor"/>
    </font>
    <font>
      <sz val="11"/>
      <color theme="1"/>
      <name val="Arial"/>
      <family val="2"/>
    </font>
    <font>
      <sz val="10"/>
      <color rgb="FF000000"/>
      <name val="Calibri"/>
      <family val="2"/>
      <scheme val="minor"/>
    </font>
    <font>
      <sz val="12"/>
      <color rgb="FF000000"/>
      <name val="Arial"/>
      <family val="2"/>
    </font>
    <font>
      <sz val="11"/>
      <color theme="1"/>
      <name val="Calibri"/>
      <scheme val="minor"/>
    </font>
    <font>
      <sz val="12"/>
      <color indexed="8"/>
      <name val="Times New Roman"/>
      <family val="1"/>
    </font>
    <font>
      <sz val="10"/>
      <name val="Arial"/>
      <family val="2"/>
    </font>
    <font>
      <sz val="10"/>
      <color theme="1"/>
      <name val="Calibri"/>
      <family val="2"/>
      <scheme val="minor"/>
    </font>
    <font>
      <sz val="12"/>
      <color rgb="FF1F1F1F"/>
      <name val="Arial"/>
      <family val="2"/>
    </font>
    <font>
      <sz val="11"/>
      <color rgb="FF000000"/>
      <name val="Arial"/>
      <family val="2"/>
    </font>
  </fonts>
  <fills count="21">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FF"/>
      </patternFill>
    </fill>
    <fill>
      <patternFill patternType="solid">
        <fgColor theme="2" tint="-0.249977111117893"/>
        <bgColor indexed="64"/>
      </patternFill>
    </fill>
    <fill>
      <patternFill patternType="solid">
        <fgColor rgb="FF92D050"/>
        <bgColor indexed="64"/>
      </patternFill>
    </fill>
    <fill>
      <patternFill patternType="solid">
        <fgColor theme="0"/>
        <bgColor theme="0"/>
      </patternFill>
    </fill>
    <fill>
      <patternFill patternType="solid">
        <fgColor theme="0"/>
        <bgColor rgb="FF00B0F0"/>
      </patternFill>
    </fill>
    <fill>
      <patternFill patternType="solid">
        <fgColor theme="4"/>
        <bgColor theme="0"/>
      </patternFill>
    </fill>
    <fill>
      <patternFill patternType="solid">
        <fgColor theme="5"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rgb="FFFFFF00"/>
        <bgColor rgb="FFFFFF00"/>
      </patternFill>
    </fill>
    <fill>
      <patternFill patternType="solid">
        <fgColor rgb="FF92D050"/>
        <bgColor rgb="FF92D050"/>
      </patternFill>
    </fill>
    <fill>
      <patternFill patternType="solid">
        <fgColor theme="0"/>
        <bgColor rgb="FFFFFF00"/>
      </patternFill>
    </fill>
    <fill>
      <patternFill patternType="solid">
        <fgColor indexed="9"/>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8"/>
      </left>
      <right style="thin">
        <color indexed="8"/>
      </right>
      <top style="thin">
        <color indexed="8"/>
      </top>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8"/>
      </left>
      <right/>
      <top style="thin">
        <color indexed="64"/>
      </top>
      <bottom style="thin">
        <color indexed="8"/>
      </bottom>
      <diagonal/>
    </border>
    <border>
      <left style="thin">
        <color rgb="FF000000"/>
      </left>
      <right/>
      <top style="thin">
        <color indexed="64"/>
      </top>
      <bottom/>
      <diagonal/>
    </border>
    <border>
      <left/>
      <right/>
      <top style="thin">
        <color indexed="64"/>
      </top>
      <bottom/>
      <diagonal/>
    </border>
    <border>
      <left style="thin">
        <color rgb="FF000000"/>
      </left>
      <right/>
      <top/>
      <bottom style="thin">
        <color rgb="FF000000"/>
      </bottom>
      <diagonal/>
    </border>
    <border>
      <left style="thin">
        <color rgb="FF000000"/>
      </left>
      <right style="thin">
        <color rgb="FF000000"/>
      </right>
      <top style="thin">
        <color indexed="64"/>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style="double">
        <color rgb="FF000000"/>
      </right>
      <top style="thin">
        <color rgb="FF000000"/>
      </top>
      <bottom style="double">
        <color indexed="64"/>
      </bottom>
      <diagonal/>
    </border>
  </borders>
  <cellStyleXfs count="57">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11" fillId="0" borderId="0">
      <alignment vertical="center"/>
    </xf>
    <xf numFmtId="164" fontId="12"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164" fontId="12" fillId="0" borderId="0" applyFont="0" applyFill="0" applyBorder="0" applyAlignment="0" applyProtection="0">
      <alignment vertical="center"/>
    </xf>
    <xf numFmtId="9" fontId="11" fillId="0" borderId="0" applyFont="0" applyFill="0" applyBorder="0" applyAlignment="0" applyProtection="0">
      <alignment vertical="center"/>
    </xf>
    <xf numFmtId="0" fontId="19" fillId="0" borderId="0">
      <alignment vertical="center"/>
    </xf>
    <xf numFmtId="164" fontId="20" fillId="0" borderId="0" applyFont="0" applyFill="0" applyBorder="0" applyAlignment="0" applyProtection="0">
      <alignment vertical="center"/>
    </xf>
    <xf numFmtId="9" fontId="19" fillId="0" borderId="0" applyFont="0" applyFill="0" applyBorder="0" applyAlignment="0" applyProtection="0">
      <alignment vertical="center"/>
    </xf>
    <xf numFmtId="0" fontId="12" fillId="0" borderId="0">
      <alignment vertical="center"/>
    </xf>
    <xf numFmtId="0" fontId="11" fillId="0" borderId="0">
      <alignment vertical="center"/>
    </xf>
    <xf numFmtId="164" fontId="12" fillId="0" borderId="0" applyFont="0" applyFill="0" applyBorder="0" applyAlignment="0" applyProtection="0">
      <alignment vertical="center"/>
    </xf>
    <xf numFmtId="9" fontId="11" fillId="0" borderId="0" applyFont="0" applyFill="0" applyBorder="0" applyAlignment="0" applyProtection="0">
      <alignment vertical="center"/>
    </xf>
    <xf numFmtId="41" fontId="1" fillId="0" borderId="0" applyFont="0" applyFill="0" applyBorder="0" applyAlignment="0" applyProtection="0"/>
    <xf numFmtId="41" fontId="12" fillId="0" borderId="0" applyFont="0" applyFill="0" applyBorder="0" applyAlignment="0" applyProtection="0">
      <alignment vertical="center"/>
    </xf>
    <xf numFmtId="41"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45" fillId="0" borderId="0"/>
    <xf numFmtId="41" fontId="12" fillId="0" borderId="0" applyFont="0" applyFill="0" applyBorder="0" applyAlignment="0" applyProtection="0">
      <alignment vertical="center"/>
    </xf>
    <xf numFmtId="41" fontId="45" fillId="0" borderId="0" applyFont="0" applyFill="0" applyBorder="0" applyAlignment="0" applyProtection="0"/>
    <xf numFmtId="0" fontId="54" fillId="0" borderId="0"/>
    <xf numFmtId="43" fontId="56" fillId="0" borderId="0" applyFont="0" applyFill="0" applyBorder="0" applyAlignment="0" applyProtection="0"/>
    <xf numFmtId="9"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58" fillId="0" borderId="0"/>
    <xf numFmtId="168" fontId="45" fillId="0" borderId="0" applyFont="0" applyFill="0" applyBorder="0" applyAlignment="0" applyProtection="0"/>
    <xf numFmtId="168" fontId="45" fillId="0" borderId="0" applyFont="0" applyFill="0" applyBorder="0" applyAlignment="0" applyProtection="0"/>
    <xf numFmtId="0" fontId="60" fillId="0" borderId="0"/>
    <xf numFmtId="0" fontId="60" fillId="0" borderId="0"/>
    <xf numFmtId="0" fontId="60" fillId="0" borderId="0"/>
    <xf numFmtId="0" fontId="60"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0" borderId="0"/>
    <xf numFmtId="1" fontId="59" fillId="20" borderId="0"/>
    <xf numFmtId="0" fontId="60" fillId="0" borderId="0"/>
    <xf numFmtId="0" fontId="1" fillId="0" borderId="0"/>
    <xf numFmtId="0" fontId="60" fillId="0" borderId="0"/>
    <xf numFmtId="0" fontId="1" fillId="0" borderId="0"/>
    <xf numFmtId="0" fontId="60" fillId="0" borderId="0"/>
    <xf numFmtId="0" fontId="60" fillId="0" borderId="0"/>
    <xf numFmtId="0" fontId="60" fillId="0" borderId="0"/>
    <xf numFmtId="0" fontId="60" fillId="0" borderId="0"/>
    <xf numFmtId="0" fontId="60" fillId="0" borderId="0"/>
    <xf numFmtId="0" fontId="60" fillId="0" borderId="0"/>
    <xf numFmtId="9" fontId="45" fillId="0" borderId="0" applyFont="0" applyFill="0" applyBorder="0" applyAlignment="0" applyProtection="0"/>
  </cellStyleXfs>
  <cellXfs count="520">
    <xf numFmtId="0" fontId="0" fillId="0" borderId="0" xfId="0"/>
    <xf numFmtId="0" fontId="1" fillId="0" borderId="0" xfId="1"/>
    <xf numFmtId="0" fontId="5" fillId="0" borderId="1" xfId="1" applyFont="1" applyBorder="1" applyAlignment="1">
      <alignment horizontal="center" vertical="top"/>
    </xf>
    <xf numFmtId="0" fontId="5" fillId="0" borderId="1" xfId="1" applyFont="1" applyBorder="1" applyAlignment="1">
      <alignment vertical="top" wrapText="1"/>
    </xf>
    <xf numFmtId="0" fontId="5" fillId="0" borderId="1" xfId="1" applyFont="1" applyBorder="1" applyAlignment="1">
      <alignment horizontal="left" vertical="top" wrapText="1"/>
    </xf>
    <xf numFmtId="0" fontId="4" fillId="0" borderId="1" xfId="1" applyFont="1" applyBorder="1" applyAlignment="1">
      <alignment vertical="top" wrapText="1"/>
    </xf>
    <xf numFmtId="0" fontId="4" fillId="0" borderId="1" xfId="1" applyFont="1" applyBorder="1" applyAlignment="1">
      <alignment horizontal="left" vertical="top" wrapText="1"/>
    </xf>
    <xf numFmtId="0" fontId="14" fillId="0" borderId="1" xfId="1" quotePrefix="1" applyFont="1" applyBorder="1" applyAlignment="1">
      <alignment horizontal="center" vertical="center" wrapText="1"/>
    </xf>
    <xf numFmtId="0" fontId="14" fillId="0" borderId="0" xfId="1" applyFont="1" applyAlignment="1">
      <alignment vertical="top" wrapText="1"/>
    </xf>
    <xf numFmtId="0" fontId="13" fillId="0" borderId="3" xfId="1" applyFont="1" applyBorder="1" applyAlignment="1">
      <alignment vertical="center"/>
    </xf>
    <xf numFmtId="0" fontId="13" fillId="0" borderId="5" xfId="1" applyFont="1" applyBorder="1" applyAlignment="1">
      <alignment vertical="center"/>
    </xf>
    <xf numFmtId="0" fontId="14" fillId="0" borderId="1" xfId="1" applyFont="1" applyBorder="1" applyAlignment="1">
      <alignment horizontal="left" vertical="center" wrapText="1"/>
    </xf>
    <xf numFmtId="0" fontId="14" fillId="0" borderId="1" xfId="1" applyFont="1" applyBorder="1" applyAlignment="1">
      <alignment horizontal="center" vertical="center" wrapText="1"/>
    </xf>
    <xf numFmtId="0" fontId="14" fillId="0" borderId="1" xfId="1" applyFont="1" applyBorder="1" applyAlignment="1">
      <alignment vertical="center" wrapText="1"/>
    </xf>
    <xf numFmtId="0" fontId="14" fillId="0" borderId="1" xfId="1" applyFont="1" applyBorder="1" applyAlignment="1">
      <alignment vertical="top" wrapText="1"/>
    </xf>
    <xf numFmtId="0" fontId="14" fillId="0" borderId="1" xfId="1" applyFont="1" applyBorder="1" applyAlignment="1">
      <alignment horizontal="left" vertical="top" wrapText="1"/>
    </xf>
    <xf numFmtId="0" fontId="14" fillId="0" borderId="1" xfId="1" applyFont="1" applyBorder="1" applyAlignment="1">
      <alignment horizontal="center" vertical="top" wrapText="1"/>
    </xf>
    <xf numFmtId="0" fontId="14" fillId="0" borderId="1" xfId="1" applyFont="1" applyBorder="1" applyAlignment="1">
      <alignment horizontal="center" vertical="top"/>
    </xf>
    <xf numFmtId="0" fontId="14" fillId="0" borderId="3" xfId="1" applyFont="1" applyBorder="1" applyAlignment="1">
      <alignment horizontal="center" vertical="top" wrapText="1"/>
    </xf>
    <xf numFmtId="0" fontId="4" fillId="0" borderId="1" xfId="1" applyFont="1" applyBorder="1" applyAlignment="1">
      <alignment horizontal="center" vertical="top"/>
    </xf>
    <xf numFmtId="0" fontId="4" fillId="0" borderId="1" xfId="1" applyFont="1" applyBorder="1" applyAlignment="1">
      <alignment vertical="center"/>
    </xf>
    <xf numFmtId="0" fontId="4" fillId="0" borderId="1" xfId="1" applyFont="1" applyBorder="1" applyAlignment="1">
      <alignment horizontal="center" vertical="center"/>
    </xf>
    <xf numFmtId="0" fontId="7" fillId="0" borderId="0" xfId="1" applyFont="1" applyAlignment="1">
      <alignment horizontal="right" wrapText="1"/>
    </xf>
    <xf numFmtId="0" fontId="14" fillId="0" borderId="4" xfId="1" applyFont="1" applyBorder="1" applyAlignment="1">
      <alignment horizontal="left" vertical="top" wrapText="1"/>
    </xf>
    <xf numFmtId="0" fontId="0" fillId="0" borderId="1" xfId="0" applyBorder="1"/>
    <xf numFmtId="0" fontId="22" fillId="0" borderId="2" xfId="1" applyFont="1" applyBorder="1" applyAlignment="1">
      <alignment vertical="top"/>
    </xf>
    <xf numFmtId="0" fontId="14" fillId="0" borderId="1" xfId="1" applyFont="1" applyBorder="1" applyAlignment="1">
      <alignment horizontal="left" vertical="top"/>
    </xf>
    <xf numFmtId="0" fontId="14" fillId="0" borderId="1" xfId="1" applyFont="1" applyBorder="1" applyAlignment="1">
      <alignment vertical="top"/>
    </xf>
    <xf numFmtId="0" fontId="13" fillId="0" borderId="1" xfId="1" applyFont="1" applyBorder="1" applyAlignment="1">
      <alignment horizontal="left" vertical="top"/>
    </xf>
    <xf numFmtId="0" fontId="0" fillId="0" borderId="0" xfId="0" applyAlignment="1">
      <alignment horizontal="center"/>
    </xf>
    <xf numFmtId="0" fontId="0" fillId="0" borderId="1" xfId="0" applyBorder="1" applyAlignment="1">
      <alignment horizontal="center"/>
    </xf>
    <xf numFmtId="0" fontId="13" fillId="0" borderId="3" xfId="1" applyFont="1" applyBorder="1" applyAlignment="1">
      <alignment vertical="top"/>
    </xf>
    <xf numFmtId="0" fontId="13" fillId="0" borderId="4" xfId="1" applyFont="1" applyBorder="1" applyAlignment="1">
      <alignment vertical="top"/>
    </xf>
    <xf numFmtId="0" fontId="13" fillId="0" borderId="5" xfId="1" applyFont="1" applyBorder="1" applyAlignment="1">
      <alignment vertical="top"/>
    </xf>
    <xf numFmtId="0" fontId="5" fillId="0" borderId="0" xfId="1" applyFont="1"/>
    <xf numFmtId="0" fontId="5" fillId="0" borderId="1" xfId="1" quotePrefix="1" applyFont="1" applyBorder="1" applyAlignment="1">
      <alignment horizontal="center" vertical="center" wrapText="1"/>
    </xf>
    <xf numFmtId="0" fontId="5" fillId="0" borderId="1" xfId="1" applyFont="1" applyBorder="1" applyAlignment="1">
      <alignment vertical="top"/>
    </xf>
    <xf numFmtId="0" fontId="5" fillId="0" borderId="1" xfId="1" applyFont="1" applyBorder="1" applyAlignment="1">
      <alignment horizontal="center" vertical="center"/>
    </xf>
    <xf numFmtId="0" fontId="5" fillId="0" borderId="1" xfId="1" applyFont="1" applyBorder="1" applyAlignment="1">
      <alignment vertical="center" wrapText="1"/>
    </xf>
    <xf numFmtId="0" fontId="9" fillId="0" borderId="1" xfId="1" applyFont="1" applyBorder="1" applyAlignment="1">
      <alignment horizontal="center" vertical="top" wrapText="1"/>
    </xf>
    <xf numFmtId="0" fontId="9" fillId="0" borderId="1" xfId="1" applyFont="1" applyBorder="1" applyAlignment="1">
      <alignment horizontal="left" vertical="top" wrapText="1"/>
    </xf>
    <xf numFmtId="0" fontId="5" fillId="0" borderId="1" xfId="1" applyFont="1" applyBorder="1" applyAlignment="1">
      <alignment vertical="center"/>
    </xf>
    <xf numFmtId="0" fontId="5" fillId="0" borderId="5" xfId="1" applyFont="1" applyBorder="1" applyAlignment="1">
      <alignment vertical="center"/>
    </xf>
    <xf numFmtId="0" fontId="5" fillId="0" borderId="2" xfId="1" applyFont="1" applyBorder="1" applyAlignment="1">
      <alignment horizontal="left" vertical="top" wrapText="1"/>
    </xf>
    <xf numFmtId="0" fontId="6" fillId="0" borderId="1" xfId="1" applyFont="1" applyBorder="1" applyAlignment="1">
      <alignment horizontal="left" vertical="top"/>
    </xf>
    <xf numFmtId="0" fontId="5" fillId="0" borderId="2" xfId="1" applyFont="1" applyBorder="1" applyAlignment="1">
      <alignment horizontal="left" vertical="top"/>
    </xf>
    <xf numFmtId="0" fontId="9" fillId="0" borderId="1" xfId="1" applyFont="1" applyBorder="1" applyAlignment="1">
      <alignment vertical="top"/>
    </xf>
    <xf numFmtId="0" fontId="6" fillId="0" borderId="4" xfId="1" applyFont="1" applyBorder="1" applyAlignment="1">
      <alignment vertical="top"/>
    </xf>
    <xf numFmtId="0" fontId="6" fillId="0" borderId="5" xfId="1" applyFont="1" applyBorder="1" applyAlignment="1">
      <alignment vertical="top"/>
    </xf>
    <xf numFmtId="9" fontId="5" fillId="0" borderId="1" xfId="1" applyNumberFormat="1" applyFont="1" applyBorder="1" applyAlignment="1">
      <alignment horizontal="center" vertical="top"/>
    </xf>
    <xf numFmtId="0" fontId="5" fillId="0" borderId="1" xfId="1" applyFont="1" applyBorder="1" applyAlignment="1">
      <alignment horizontal="center" vertical="top" wrapText="1"/>
    </xf>
    <xf numFmtId="9" fontId="5" fillId="0" borderId="1" xfId="1" applyNumberFormat="1" applyFont="1" applyBorder="1" applyAlignment="1">
      <alignment horizontal="center" vertical="top" wrapText="1"/>
    </xf>
    <xf numFmtId="0" fontId="6" fillId="0" borderId="4" xfId="1" applyFont="1" applyBorder="1" applyAlignment="1">
      <alignment horizontal="left" vertical="top"/>
    </xf>
    <xf numFmtId="0" fontId="5" fillId="0" borderId="1" xfId="1" applyFont="1" applyBorder="1" applyAlignment="1">
      <alignment horizontal="center" vertical="center" wrapText="1"/>
    </xf>
    <xf numFmtId="0" fontId="6" fillId="0" borderId="1" xfId="1" applyFont="1" applyBorder="1" applyAlignment="1">
      <alignment vertical="top" wrapText="1"/>
    </xf>
    <xf numFmtId="0" fontId="4" fillId="0" borderId="1" xfId="1" applyFont="1" applyBorder="1" applyAlignment="1">
      <alignment horizontal="justify" vertical="top" wrapText="1"/>
    </xf>
    <xf numFmtId="0" fontId="4" fillId="0" borderId="9" xfId="1" applyFont="1" applyBorder="1" applyAlignment="1">
      <alignment horizontal="left" vertical="top" wrapText="1"/>
    </xf>
    <xf numFmtId="9" fontId="5" fillId="0" borderId="1" xfId="1" applyNumberFormat="1" applyFont="1" applyBorder="1" applyAlignment="1">
      <alignment horizontal="center" vertical="center" wrapText="1"/>
    </xf>
    <xf numFmtId="0" fontId="5" fillId="0" borderId="5" xfId="1" quotePrefix="1" applyFont="1" applyBorder="1" applyAlignment="1">
      <alignment horizontal="center" vertical="center" wrapText="1"/>
    </xf>
    <xf numFmtId="0" fontId="23" fillId="0" borderId="0" xfId="1" applyFont="1" applyAlignment="1">
      <alignment vertical="center" wrapText="1"/>
    </xf>
    <xf numFmtId="0" fontId="5" fillId="0" borderId="1" xfId="1" applyFont="1" applyBorder="1" applyAlignment="1">
      <alignment horizontal="left" vertical="top"/>
    </xf>
    <xf numFmtId="0" fontId="4" fillId="0" borderId="1" xfId="1" applyFont="1" applyBorder="1" applyAlignment="1">
      <alignment horizontal="left" vertical="top"/>
    </xf>
    <xf numFmtId="0" fontId="6" fillId="0" borderId="1" xfId="1" applyFont="1" applyBorder="1" applyAlignment="1">
      <alignment vertical="center"/>
    </xf>
    <xf numFmtId="0" fontId="7" fillId="0" borderId="4" xfId="1" applyFont="1" applyBorder="1" applyAlignment="1">
      <alignment vertical="top"/>
    </xf>
    <xf numFmtId="0" fontId="7" fillId="0" borderId="5" xfId="1" applyFont="1" applyBorder="1" applyAlignment="1">
      <alignment vertical="top"/>
    </xf>
    <xf numFmtId="0" fontId="4" fillId="0" borderId="1" xfId="1" applyFont="1" applyBorder="1" applyAlignment="1">
      <alignment horizontal="center" vertical="top" wrapText="1"/>
    </xf>
    <xf numFmtId="9" fontId="4" fillId="0" borderId="1" xfId="1" applyNumberFormat="1" applyFont="1" applyBorder="1" applyAlignment="1">
      <alignment horizontal="center" vertical="top"/>
    </xf>
    <xf numFmtId="0" fontId="4" fillId="0" borderId="1" xfId="1" applyFont="1" applyBorder="1" applyAlignment="1">
      <alignment horizontal="center" vertical="center" wrapText="1"/>
    </xf>
    <xf numFmtId="0" fontId="6" fillId="0" borderId="1" xfId="1" applyFont="1" applyBorder="1" applyAlignment="1">
      <alignment horizontal="center" vertical="top" wrapText="1"/>
    </xf>
    <xf numFmtId="0" fontId="26" fillId="0" borderId="1" xfId="1" applyFont="1" applyBorder="1" applyAlignment="1">
      <alignment horizontal="center"/>
    </xf>
    <xf numFmtId="0" fontId="27" fillId="0" borderId="0" xfId="1" applyFont="1"/>
    <xf numFmtId="0" fontId="26" fillId="0" borderId="1" xfId="1" applyFont="1" applyBorder="1" applyAlignment="1">
      <alignment wrapText="1"/>
    </xf>
    <xf numFmtId="0" fontId="14" fillId="0" borderId="4" xfId="1" applyFont="1" applyBorder="1" applyAlignment="1">
      <alignment horizontal="justify" vertical="center"/>
    </xf>
    <xf numFmtId="0" fontId="26" fillId="0" borderId="4" xfId="1" applyFont="1" applyBorder="1"/>
    <xf numFmtId="0" fontId="24" fillId="0" borderId="8" xfId="1" applyFont="1" applyBorder="1" applyAlignment="1">
      <alignment horizontal="center" vertical="center"/>
    </xf>
    <xf numFmtId="0" fontId="30" fillId="0" borderId="8" xfId="1" applyFont="1" applyBorder="1" applyAlignment="1">
      <alignment horizontal="center" vertical="center"/>
    </xf>
    <xf numFmtId="0" fontId="14" fillId="0" borderId="4" xfId="1" applyFont="1" applyBorder="1" applyAlignment="1">
      <alignment horizontal="left" vertical="center"/>
    </xf>
    <xf numFmtId="0" fontId="30" fillId="0" borderId="4" xfId="1" applyFont="1" applyBorder="1" applyAlignment="1">
      <alignment horizontal="center" vertical="center"/>
    </xf>
    <xf numFmtId="0" fontId="14" fillId="0" borderId="4" xfId="1" applyFont="1" applyBorder="1" applyAlignment="1">
      <alignment vertical="center"/>
    </xf>
    <xf numFmtId="16" fontId="26" fillId="0" borderId="1" xfId="1" quotePrefix="1" applyNumberFormat="1" applyFont="1" applyBorder="1" applyAlignment="1">
      <alignment horizontal="center"/>
    </xf>
    <xf numFmtId="0" fontId="14" fillId="0" borderId="1" xfId="1" applyFont="1" applyBorder="1" applyAlignment="1">
      <alignment horizontal="left" vertical="center"/>
    </xf>
    <xf numFmtId="0" fontId="26" fillId="0" borderId="1" xfId="1" applyFont="1" applyBorder="1"/>
    <xf numFmtId="0" fontId="26" fillId="0" borderId="3" xfId="1" applyFont="1" applyBorder="1"/>
    <xf numFmtId="0" fontId="6" fillId="0" borderId="1" xfId="1" applyFont="1" applyBorder="1" applyAlignment="1">
      <alignment horizontal="center" vertical="top"/>
    </xf>
    <xf numFmtId="0" fontId="4" fillId="0" borderId="1" xfId="1" applyFont="1" applyBorder="1" applyAlignment="1">
      <alignment vertical="top"/>
    </xf>
    <xf numFmtId="0" fontId="14" fillId="0" borderId="4" xfId="1" applyFont="1" applyBorder="1" applyAlignment="1">
      <alignment horizontal="center" vertical="center"/>
    </xf>
    <xf numFmtId="0" fontId="6" fillId="0" borderId="1" xfId="1" applyFont="1" applyBorder="1" applyAlignment="1">
      <alignment horizontal="center" vertical="center"/>
    </xf>
    <xf numFmtId="0" fontId="5" fillId="0" borderId="1" xfId="1" applyFont="1" applyBorder="1"/>
    <xf numFmtId="0" fontId="6" fillId="0" borderId="1" xfId="1" applyFont="1" applyBorder="1" applyAlignment="1">
      <alignment vertical="top"/>
    </xf>
    <xf numFmtId="21" fontId="7" fillId="0" borderId="1" xfId="1" quotePrefix="1" applyNumberFormat="1" applyFont="1" applyBorder="1" applyAlignment="1">
      <alignment horizontal="left" vertical="top"/>
    </xf>
    <xf numFmtId="0" fontId="7" fillId="0" borderId="1" xfId="1" applyFont="1" applyBorder="1" applyAlignment="1">
      <alignment vertical="top"/>
    </xf>
    <xf numFmtId="0" fontId="1" fillId="0" borderId="0" xfId="1" applyAlignment="1">
      <alignment horizontal="center"/>
    </xf>
    <xf numFmtId="0" fontId="27" fillId="0" borderId="0" xfId="1" applyFont="1" applyAlignment="1">
      <alignment horizontal="center"/>
    </xf>
    <xf numFmtId="0" fontId="26" fillId="0" borderId="8" xfId="1" applyFont="1" applyBorder="1" applyAlignment="1">
      <alignment horizontal="center"/>
    </xf>
    <xf numFmtId="0" fontId="26" fillId="0" borderId="4" xfId="1" applyFont="1" applyBorder="1" applyAlignment="1">
      <alignment horizontal="center"/>
    </xf>
    <xf numFmtId="0" fontId="5" fillId="0" borderId="0" xfId="1" applyFont="1" applyAlignment="1">
      <alignment horizontal="center" vertical="center"/>
    </xf>
    <xf numFmtId="9" fontId="5" fillId="2" borderId="1" xfId="1" applyNumberFormat="1" applyFont="1" applyFill="1" applyBorder="1" applyAlignment="1">
      <alignment horizontal="center" vertical="top"/>
    </xf>
    <xf numFmtId="0" fontId="4" fillId="0" borderId="1" xfId="1" quotePrefix="1" applyFont="1" applyBorder="1" applyAlignment="1">
      <alignment horizontal="center" vertical="center"/>
    </xf>
    <xf numFmtId="0" fontId="5" fillId="0" borderId="1" xfId="14" applyFont="1" applyBorder="1" applyAlignment="1">
      <alignment horizontal="center" vertical="top" wrapText="1"/>
    </xf>
    <xf numFmtId="9" fontId="5" fillId="0" borderId="1" xfId="14" applyNumberFormat="1" applyFont="1" applyBorder="1" applyAlignment="1">
      <alignment horizontal="center" vertical="top" wrapText="1"/>
    </xf>
    <xf numFmtId="0" fontId="6" fillId="0" borderId="0" xfId="1" applyFont="1" applyAlignment="1">
      <alignment vertical="top" wrapText="1"/>
    </xf>
    <xf numFmtId="0" fontId="10" fillId="0" borderId="0" xfId="1" applyFont="1" applyAlignment="1">
      <alignment horizontal="center" vertical="top" wrapText="1"/>
    </xf>
    <xf numFmtId="0" fontId="24" fillId="0" borderId="0" xfId="1" applyFont="1" applyAlignment="1">
      <alignment horizontal="left" vertical="top" wrapText="1"/>
    </xf>
    <xf numFmtId="0" fontId="7" fillId="0" borderId="0" xfId="1" applyFont="1" applyAlignment="1">
      <alignment vertical="center" wrapText="1"/>
    </xf>
    <xf numFmtId="0" fontId="13" fillId="0" borderId="0" xfId="1" applyFont="1" applyAlignment="1">
      <alignment vertical="top"/>
    </xf>
    <xf numFmtId="0" fontId="4" fillId="0" borderId="0" xfId="1" applyFont="1"/>
    <xf numFmtId="9" fontId="24" fillId="0" borderId="0" xfId="1" applyNumberFormat="1" applyFont="1" applyAlignment="1">
      <alignment vertical="top" wrapText="1"/>
    </xf>
    <xf numFmtId="0" fontId="27" fillId="0" borderId="0" xfId="1" applyFont="1" applyAlignment="1">
      <alignment horizontal="center" vertical="center"/>
    </xf>
    <xf numFmtId="0" fontId="28" fillId="0" borderId="0" xfId="1" applyFont="1" applyAlignment="1">
      <alignment horizontal="justify" vertical="center"/>
    </xf>
    <xf numFmtId="0" fontId="27" fillId="0" borderId="0" xfId="1" applyFont="1" applyAlignment="1">
      <alignment horizontal="center" vertical="center" wrapText="1"/>
    </xf>
    <xf numFmtId="0" fontId="27" fillId="0" borderId="0" xfId="1" applyFont="1" applyAlignment="1">
      <alignment horizontal="left"/>
    </xf>
    <xf numFmtId="0" fontId="27" fillId="0" borderId="0" xfId="1" applyFont="1" applyAlignment="1">
      <alignment horizontal="center" wrapText="1"/>
    </xf>
    <xf numFmtId="0" fontId="7" fillId="0" borderId="0" xfId="1" applyFont="1" applyAlignment="1">
      <alignment horizontal="center" wrapText="1"/>
    </xf>
    <xf numFmtId="9" fontId="4" fillId="0" borderId="1" xfId="1" applyNumberFormat="1" applyFont="1" applyBorder="1" applyAlignment="1">
      <alignment horizontal="center" wrapText="1"/>
    </xf>
    <xf numFmtId="0" fontId="14" fillId="0" borderId="1" xfId="1" applyFont="1" applyBorder="1" applyAlignment="1">
      <alignment horizontal="justify" vertical="center" wrapText="1"/>
    </xf>
    <xf numFmtId="0" fontId="4" fillId="0" borderId="1" xfId="1" applyFont="1" applyBorder="1" applyAlignment="1">
      <alignment horizontal="center" wrapText="1"/>
    </xf>
    <xf numFmtId="0" fontId="14" fillId="0" borderId="3" xfId="1" applyFont="1" applyBorder="1" applyAlignment="1">
      <alignment horizontal="left" vertical="center" wrapText="1"/>
    </xf>
    <xf numFmtId="0" fontId="4" fillId="0" borderId="1" xfId="1" applyFont="1" applyBorder="1"/>
    <xf numFmtId="0" fontId="14" fillId="0" borderId="0" xfId="1" applyFont="1" applyAlignment="1">
      <alignment horizontal="justify" vertical="center"/>
    </xf>
    <xf numFmtId="0" fontId="4" fillId="0" borderId="1" xfId="1" applyFont="1" applyBorder="1" applyAlignment="1">
      <alignment wrapText="1"/>
    </xf>
    <xf numFmtId="0" fontId="4" fillId="0" borderId="4" xfId="1" applyFont="1" applyBorder="1"/>
    <xf numFmtId="0" fontId="4" fillId="0" borderId="8" xfId="1" applyFont="1" applyBorder="1"/>
    <xf numFmtId="0" fontId="4" fillId="0" borderId="8" xfId="1" applyFont="1" applyBorder="1" applyAlignment="1">
      <alignment horizontal="center" vertical="center"/>
    </xf>
    <xf numFmtId="0" fontId="14" fillId="0" borderId="8" xfId="1" applyFont="1" applyBorder="1" applyAlignment="1">
      <alignment horizontal="center" vertical="center"/>
    </xf>
    <xf numFmtId="0" fontId="4" fillId="0" borderId="1" xfId="1" applyFont="1" applyBorder="1" applyAlignment="1">
      <alignment horizontal="center"/>
    </xf>
    <xf numFmtId="16" fontId="4" fillId="0" borderId="1" xfId="1" quotePrefix="1" applyNumberFormat="1" applyFont="1" applyBorder="1" applyAlignment="1">
      <alignment horizontal="center"/>
    </xf>
    <xf numFmtId="0" fontId="4" fillId="0" borderId="3" xfId="1" applyFont="1" applyBorder="1"/>
    <xf numFmtId="0" fontId="4" fillId="0" borderId="5" xfId="1" applyFont="1" applyBorder="1"/>
    <xf numFmtId="0" fontId="4" fillId="0" borderId="3" xfId="1" applyFont="1" applyBorder="1" applyAlignment="1">
      <alignment wrapText="1"/>
    </xf>
    <xf numFmtId="0" fontId="4" fillId="0" borderId="10" xfId="1" applyFont="1" applyBorder="1" applyAlignment="1">
      <alignment wrapText="1"/>
    </xf>
    <xf numFmtId="0" fontId="4" fillId="0" borderId="3" xfId="1" applyFont="1" applyBorder="1" applyAlignment="1">
      <alignment horizontal="left" wrapText="1"/>
    </xf>
    <xf numFmtId="0" fontId="4" fillId="0" borderId="4" xfId="1" applyFont="1" applyBorder="1" applyAlignment="1">
      <alignment horizontal="left" wrapText="1"/>
    </xf>
    <xf numFmtId="0" fontId="33" fillId="0" borderId="0" xfId="0" applyFont="1"/>
    <xf numFmtId="0" fontId="6" fillId="0" borderId="1" xfId="1" applyFont="1" applyBorder="1" applyAlignment="1">
      <alignment horizontal="left" vertical="top" wrapText="1"/>
    </xf>
    <xf numFmtId="0" fontId="7" fillId="0" borderId="1" xfId="1" applyFont="1" applyBorder="1" applyAlignment="1">
      <alignment horizontal="left" vertical="top" wrapText="1"/>
    </xf>
    <xf numFmtId="0" fontId="27" fillId="0" borderId="1" xfId="0" applyFont="1" applyBorder="1" applyAlignment="1">
      <alignment horizontal="center" vertical="top"/>
    </xf>
    <xf numFmtId="165" fontId="27" fillId="0" borderId="1" xfId="0" applyNumberFormat="1" applyFont="1" applyBorder="1" applyAlignment="1">
      <alignment horizontal="center" vertical="top"/>
    </xf>
    <xf numFmtId="165" fontId="27" fillId="0" borderId="1" xfId="0" quotePrefix="1" applyNumberFormat="1" applyFont="1" applyBorder="1" applyAlignment="1">
      <alignment horizontal="center" vertical="top"/>
    </xf>
    <xf numFmtId="2" fontId="27" fillId="0" borderId="1" xfId="0" applyNumberFormat="1" applyFont="1" applyBorder="1" applyAlignment="1">
      <alignment horizontal="center" vertical="top"/>
    </xf>
    <xf numFmtId="2" fontId="24" fillId="0" borderId="1" xfId="0" applyNumberFormat="1" applyFont="1" applyBorder="1" applyAlignment="1">
      <alignment horizontal="center" vertical="top"/>
    </xf>
    <xf numFmtId="0" fontId="4" fillId="0" borderId="1" xfId="0" applyFont="1" applyBorder="1" applyAlignment="1">
      <alignment horizontal="center" vertical="top"/>
    </xf>
    <xf numFmtId="0" fontId="36" fillId="0" borderId="4" xfId="0" applyFont="1" applyBorder="1" applyAlignment="1">
      <alignment vertical="top" wrapText="1"/>
    </xf>
    <xf numFmtId="0" fontId="36" fillId="0" borderId="5" xfId="0" applyFont="1" applyBorder="1" applyAlignment="1">
      <alignment vertical="top" wrapText="1"/>
    </xf>
    <xf numFmtId="0" fontId="37" fillId="0" borderId="1" xfId="0" applyFont="1" applyBorder="1" applyAlignment="1">
      <alignment vertical="top"/>
    </xf>
    <xf numFmtId="165" fontId="37" fillId="0" borderId="1" xfId="0" applyNumberFormat="1" applyFont="1" applyBorder="1" applyAlignment="1">
      <alignment vertical="top"/>
    </xf>
    <xf numFmtId="0" fontId="36" fillId="0" borderId="4" xfId="0" applyFont="1" applyBorder="1" applyAlignment="1">
      <alignment vertical="top"/>
    </xf>
    <xf numFmtId="0" fontId="38" fillId="0" borderId="1" xfId="0" applyFont="1" applyBorder="1" applyAlignment="1">
      <alignment horizontal="center" vertical="top"/>
    </xf>
    <xf numFmtId="2" fontId="27" fillId="4" borderId="1" xfId="0" applyNumberFormat="1" applyFont="1" applyFill="1" applyBorder="1" applyAlignment="1">
      <alignment horizontal="center" vertical="top"/>
    </xf>
    <xf numFmtId="0" fontId="7" fillId="0" borderId="1" xfId="0" applyFont="1" applyBorder="1" applyAlignment="1">
      <alignment horizontal="center" vertical="top"/>
    </xf>
    <xf numFmtId="9" fontId="4" fillId="5" borderId="1" xfId="0" applyNumberFormat="1" applyFont="1" applyFill="1" applyBorder="1" applyAlignment="1">
      <alignment horizontal="center" vertical="top" wrapText="1"/>
    </xf>
    <xf numFmtId="165" fontId="4" fillId="0" borderId="1" xfId="0" applyNumberFormat="1" applyFont="1" applyBorder="1" applyAlignment="1">
      <alignment horizontal="center" vertical="top"/>
    </xf>
    <xf numFmtId="165" fontId="4" fillId="4" borderId="1" xfId="0" applyNumberFormat="1" applyFont="1" applyFill="1" applyBorder="1" applyAlignment="1">
      <alignment vertical="top"/>
    </xf>
    <xf numFmtId="165" fontId="4" fillId="0" borderId="1" xfId="0" quotePrefix="1" applyNumberFormat="1" applyFont="1" applyBorder="1" applyAlignment="1">
      <alignment horizontal="center" vertical="top"/>
    </xf>
    <xf numFmtId="0" fontId="4" fillId="0" borderId="1" xfId="0" applyFont="1" applyBorder="1" applyAlignment="1">
      <alignment vertical="top"/>
    </xf>
    <xf numFmtId="0" fontId="27" fillId="0" borderId="1" xfId="0" applyFont="1" applyBorder="1" applyAlignment="1">
      <alignment vertical="top"/>
    </xf>
    <xf numFmtId="165" fontId="27" fillId="0" borderId="1" xfId="0" applyNumberFormat="1" applyFont="1" applyBorder="1" applyAlignment="1">
      <alignment vertical="top"/>
    </xf>
    <xf numFmtId="2" fontId="27" fillId="0" borderId="1" xfId="0" applyNumberFormat="1" applyFont="1" applyBorder="1" applyAlignment="1">
      <alignment vertical="top"/>
    </xf>
    <xf numFmtId="2" fontId="27" fillId="4" borderId="1" xfId="0" applyNumberFormat="1" applyFont="1" applyFill="1" applyBorder="1" applyAlignment="1">
      <alignment vertical="top"/>
    </xf>
    <xf numFmtId="0" fontId="28" fillId="2" borderId="1" xfId="0" applyFont="1" applyFill="1" applyBorder="1" applyAlignment="1">
      <alignment horizontal="left" vertical="top" wrapText="1"/>
    </xf>
    <xf numFmtId="0" fontId="28" fillId="2" borderId="1" xfId="0" applyFont="1" applyFill="1" applyBorder="1" applyAlignment="1">
      <alignment horizontal="left" vertical="top"/>
    </xf>
    <xf numFmtId="0" fontId="13" fillId="0" borderId="5" xfId="0" applyFont="1" applyBorder="1" applyAlignment="1">
      <alignment vertical="center" wrapText="1"/>
    </xf>
    <xf numFmtId="165" fontId="7" fillId="4" borderId="1" xfId="0" applyNumberFormat="1" applyFont="1" applyFill="1" applyBorder="1" applyAlignment="1">
      <alignment horizontal="center" vertical="top"/>
    </xf>
    <xf numFmtId="0" fontId="5" fillId="0" borderId="1" xfId="0" applyFont="1" applyBorder="1" applyAlignment="1">
      <alignment horizontal="center" vertical="top"/>
    </xf>
    <xf numFmtId="165" fontId="7" fillId="0" borderId="1" xfId="0" quotePrefix="1" applyNumberFormat="1" applyFont="1" applyBorder="1" applyAlignment="1">
      <alignment horizontal="center" vertical="top"/>
    </xf>
    <xf numFmtId="165" fontId="4" fillId="0" borderId="12" xfId="0" applyNumberFormat="1" applyFont="1" applyBorder="1" applyAlignment="1">
      <alignment horizontal="center" vertical="top" wrapText="1"/>
    </xf>
    <xf numFmtId="165" fontId="4" fillId="4" borderId="1" xfId="0" applyNumberFormat="1" applyFont="1" applyFill="1" applyBorder="1" applyAlignment="1">
      <alignment horizontal="center" vertical="top"/>
    </xf>
    <xf numFmtId="2" fontId="0" fillId="4" borderId="1" xfId="0" applyNumberFormat="1" applyFill="1" applyBorder="1"/>
    <xf numFmtId="0" fontId="31" fillId="2" borderId="1" xfId="0" applyFont="1" applyFill="1" applyBorder="1" applyAlignment="1">
      <alignment horizontal="center" vertical="top" wrapText="1"/>
    </xf>
    <xf numFmtId="0" fontId="6" fillId="2" borderId="1" xfId="0" applyFont="1" applyFill="1" applyBorder="1" applyAlignment="1">
      <alignment vertical="top" wrapText="1"/>
    </xf>
    <xf numFmtId="0" fontId="5" fillId="0" borderId="1" xfId="0" applyFont="1" applyBorder="1" applyAlignment="1">
      <alignment horizontal="center" vertical="top" wrapText="1"/>
    </xf>
    <xf numFmtId="0" fontId="31" fillId="0" borderId="1" xfId="0" applyFont="1" applyBorder="1" applyAlignment="1">
      <alignment horizontal="center" vertical="top" wrapText="1"/>
    </xf>
    <xf numFmtId="0" fontId="31" fillId="0" borderId="1" xfId="0" applyFont="1" applyBorder="1" applyAlignment="1">
      <alignment horizontal="center" vertical="top"/>
    </xf>
    <xf numFmtId="0" fontId="5" fillId="0" borderId="1" xfId="0" applyFont="1" applyBorder="1" applyAlignment="1">
      <alignment vertical="top"/>
    </xf>
    <xf numFmtId="165" fontId="4" fillId="0" borderId="1" xfId="0" applyNumberFormat="1" applyFont="1" applyBorder="1" applyAlignment="1">
      <alignment vertical="top"/>
    </xf>
    <xf numFmtId="0" fontId="39" fillId="0" borderId="1" xfId="0" applyFont="1" applyBorder="1" applyAlignment="1">
      <alignment horizontal="center" vertical="top"/>
    </xf>
    <xf numFmtId="0" fontId="39" fillId="0" borderId="1" xfId="0" applyFont="1" applyBorder="1" applyAlignment="1">
      <alignment horizontal="center" vertical="top" wrapText="1"/>
    </xf>
    <xf numFmtId="0" fontId="14" fillId="2" borderId="1" xfId="0" applyFont="1" applyFill="1" applyBorder="1" applyAlignment="1">
      <alignment horizontal="center" vertical="top" wrapText="1"/>
    </xf>
    <xf numFmtId="0" fontId="1" fillId="0" borderId="1" xfId="1" applyBorder="1" applyAlignment="1">
      <alignment horizontal="center"/>
    </xf>
    <xf numFmtId="0" fontId="4" fillId="0" borderId="0" xfId="1" applyFont="1" applyAlignment="1">
      <alignment horizontal="center"/>
    </xf>
    <xf numFmtId="0" fontId="4" fillId="0" borderId="4" xfId="1" applyFont="1" applyBorder="1" applyAlignment="1">
      <alignment horizontal="center"/>
    </xf>
    <xf numFmtId="0" fontId="4" fillId="0" borderId="3" xfId="1" applyFont="1" applyBorder="1" applyAlignment="1">
      <alignment horizontal="center"/>
    </xf>
    <xf numFmtId="1" fontId="4" fillId="0" borderId="1" xfId="0" applyNumberFormat="1" applyFont="1" applyBorder="1" applyAlignment="1">
      <alignment vertical="top"/>
    </xf>
    <xf numFmtId="1" fontId="4" fillId="0" borderId="1" xfId="0" applyNumberFormat="1" applyFont="1" applyBorder="1" applyAlignment="1">
      <alignment horizontal="center" vertical="top"/>
    </xf>
    <xf numFmtId="166" fontId="4" fillId="0" borderId="1" xfId="0" applyNumberFormat="1" applyFont="1" applyBorder="1" applyAlignment="1">
      <alignment horizontal="center" vertical="top"/>
    </xf>
    <xf numFmtId="165" fontId="4" fillId="0" borderId="12" xfId="0" quotePrefix="1" applyNumberFormat="1" applyFont="1" applyBorder="1" applyAlignment="1">
      <alignment horizontal="center" vertical="top" wrapText="1"/>
    </xf>
    <xf numFmtId="0" fontId="4" fillId="0" borderId="5" xfId="0" applyFont="1" applyBorder="1" applyAlignment="1">
      <alignment horizontal="center" vertical="top"/>
    </xf>
    <xf numFmtId="0" fontId="4" fillId="0" borderId="14" xfId="0" applyFont="1" applyBorder="1" applyAlignment="1">
      <alignment horizontal="center" vertical="top"/>
    </xf>
    <xf numFmtId="165" fontId="4" fillId="0" borderId="3" xfId="0" quotePrefix="1" applyNumberFormat="1" applyFont="1" applyBorder="1" applyAlignment="1">
      <alignment horizontal="center" vertical="top" wrapText="1"/>
    </xf>
    <xf numFmtId="0" fontId="40" fillId="0" borderId="1" xfId="0" applyFont="1" applyBorder="1"/>
    <xf numFmtId="0" fontId="40" fillId="0" borderId="0" xfId="0" applyFont="1"/>
    <xf numFmtId="0" fontId="7" fillId="0" borderId="1" xfId="1" quotePrefix="1" applyFont="1" applyBorder="1" applyAlignment="1">
      <alignment horizontal="center" vertical="center"/>
    </xf>
    <xf numFmtId="0" fontId="7" fillId="0" borderId="1" xfId="1" quotePrefix="1" applyFont="1" applyBorder="1" applyAlignment="1">
      <alignment horizontal="left" vertical="center"/>
    </xf>
    <xf numFmtId="0" fontId="14" fillId="0" borderId="0" xfId="1" applyFont="1"/>
    <xf numFmtId="0" fontId="13" fillId="0" borderId="1" xfId="1" applyFont="1" applyBorder="1" applyAlignment="1">
      <alignment horizontal="left" vertical="center"/>
    </xf>
    <xf numFmtId="0" fontId="13" fillId="0" borderId="1" xfId="1" applyFont="1" applyBorder="1" applyAlignment="1">
      <alignment vertical="center"/>
    </xf>
    <xf numFmtId="0" fontId="13" fillId="0" borderId="1" xfId="1" applyFont="1" applyBorder="1" applyAlignment="1">
      <alignment vertical="top" wrapText="1"/>
    </xf>
    <xf numFmtId="0" fontId="6" fillId="0" borderId="1" xfId="1" applyFont="1" applyBorder="1" applyAlignment="1">
      <alignment vertical="center" wrapText="1"/>
    </xf>
    <xf numFmtId="0" fontId="7" fillId="0" borderId="1" xfId="1" applyFont="1" applyBorder="1" applyAlignment="1">
      <alignment vertical="top" wrapText="1"/>
    </xf>
    <xf numFmtId="0" fontId="6" fillId="0" borderId="1" xfId="1" applyFont="1" applyBorder="1"/>
    <xf numFmtId="0" fontId="6" fillId="0" borderId="1" xfId="1" quotePrefix="1" applyFont="1" applyBorder="1" applyAlignment="1">
      <alignment vertical="top" wrapText="1"/>
    </xf>
    <xf numFmtId="0" fontId="4" fillId="0" borderId="0" xfId="0" applyFont="1"/>
    <xf numFmtId="21" fontId="5" fillId="0" borderId="1" xfId="1" quotePrefix="1"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165" fontId="4" fillId="0" borderId="1" xfId="0" applyNumberFormat="1" applyFont="1" applyBorder="1" applyAlignment="1">
      <alignment vertical="center"/>
    </xf>
    <xf numFmtId="0" fontId="0" fillId="0" borderId="1" xfId="0" applyBorder="1" applyAlignment="1">
      <alignment vertical="center"/>
    </xf>
    <xf numFmtId="165" fontId="4" fillId="4" borderId="1" xfId="0" applyNumberFormat="1" applyFont="1" applyFill="1" applyBorder="1" applyAlignment="1">
      <alignment horizontal="center" vertical="center"/>
    </xf>
    <xf numFmtId="0" fontId="5" fillId="0" borderId="1" xfId="1" applyFont="1" applyBorder="1" applyAlignment="1">
      <alignment horizontal="left" vertical="center" wrapText="1"/>
    </xf>
    <xf numFmtId="165" fontId="4" fillId="0" borderId="1" xfId="0" applyNumberFormat="1" applyFont="1" applyBorder="1" applyAlignment="1">
      <alignment horizontal="center" vertical="center"/>
    </xf>
    <xf numFmtId="165" fontId="4" fillId="0" borderId="12" xfId="0" applyNumberFormat="1" applyFont="1" applyBorder="1" applyAlignment="1">
      <alignment horizontal="center" vertical="center" wrapText="1"/>
    </xf>
    <xf numFmtId="21" fontId="4" fillId="0" borderId="1" xfId="1" applyNumberFormat="1" applyFont="1" applyBorder="1" applyAlignment="1">
      <alignment horizontal="center" vertical="center"/>
    </xf>
    <xf numFmtId="0" fontId="4" fillId="0" borderId="1" xfId="1" applyFont="1" applyBorder="1" applyAlignment="1">
      <alignment vertical="center" wrapText="1"/>
    </xf>
    <xf numFmtId="9" fontId="4" fillId="0" borderId="1" xfId="1" applyNumberFormat="1" applyFont="1" applyBorder="1" applyAlignment="1">
      <alignment horizontal="center" vertical="center"/>
    </xf>
    <xf numFmtId="0" fontId="4" fillId="0" borderId="0" xfId="0" applyFont="1" applyAlignment="1">
      <alignment horizontal="center"/>
    </xf>
    <xf numFmtId="21" fontId="6" fillId="0" borderId="1" xfId="1" quotePrefix="1" applyNumberFormat="1" applyFont="1" applyBorder="1" applyAlignment="1">
      <alignment horizontal="left" vertical="top" wrapText="1"/>
    </xf>
    <xf numFmtId="0" fontId="4" fillId="0" borderId="15" xfId="0" applyFont="1" applyBorder="1" applyAlignment="1">
      <alignment horizontal="center" vertical="top"/>
    </xf>
    <xf numFmtId="0" fontId="4" fillId="0" borderId="15" xfId="0" applyFont="1" applyBorder="1" applyAlignment="1">
      <alignment vertical="top" wrapText="1"/>
    </xf>
    <xf numFmtId="0" fontId="4" fillId="0" borderId="15" xfId="0" applyFont="1" applyBorder="1" applyAlignment="1">
      <alignment horizontal="left" vertical="top" wrapText="1"/>
    </xf>
    <xf numFmtId="0" fontId="14" fillId="6" borderId="15" xfId="0" applyFont="1" applyFill="1" applyBorder="1" applyAlignment="1">
      <alignment horizontal="center" vertical="top"/>
    </xf>
    <xf numFmtId="0" fontId="14" fillId="6" borderId="17" xfId="0" applyFont="1" applyFill="1" applyBorder="1" applyAlignment="1">
      <alignment vertical="top" wrapText="1"/>
    </xf>
    <xf numFmtId="0" fontId="14" fillId="6" borderId="17" xfId="0" applyFont="1" applyFill="1" applyBorder="1" applyAlignment="1">
      <alignment horizontal="left" vertical="top"/>
    </xf>
    <xf numFmtId="0" fontId="14" fillId="6" borderId="17" xfId="0" applyFont="1" applyFill="1" applyBorder="1" applyAlignment="1">
      <alignment horizontal="left" vertical="top" wrapText="1"/>
    </xf>
    <xf numFmtId="1" fontId="5" fillId="0" borderId="1" xfId="1" applyNumberFormat="1" applyFont="1" applyBorder="1" applyAlignment="1">
      <alignment horizontal="center" vertical="top" wrapText="1"/>
    </xf>
    <xf numFmtId="2" fontId="4" fillId="0" borderId="1" xfId="0" quotePrefix="1" applyNumberFormat="1" applyFont="1" applyBorder="1" applyAlignment="1">
      <alignment horizontal="center" vertical="top"/>
    </xf>
    <xf numFmtId="0" fontId="4" fillId="0" borderId="1" xfId="0" applyFont="1" applyBorder="1"/>
    <xf numFmtId="0" fontId="41" fillId="0" borderId="1" xfId="1" applyFont="1" applyBorder="1" applyAlignment="1">
      <alignment horizontal="left" vertical="top" wrapText="1"/>
    </xf>
    <xf numFmtId="2" fontId="4" fillId="0" borderId="1" xfId="0" applyNumberFormat="1" applyFont="1" applyBorder="1" applyAlignment="1">
      <alignment vertical="top"/>
    </xf>
    <xf numFmtId="2" fontId="4" fillId="0" borderId="1" xfId="0" applyNumberFormat="1" applyFont="1" applyBorder="1" applyAlignment="1">
      <alignment horizontal="center" vertical="top"/>
    </xf>
    <xf numFmtId="9" fontId="4" fillId="0" borderId="1" xfId="0" applyNumberFormat="1" applyFont="1" applyBorder="1" applyAlignment="1">
      <alignment horizontal="center" vertical="top" wrapText="1"/>
    </xf>
    <xf numFmtId="0" fontId="4" fillId="0" borderId="5" xfId="1" applyFont="1" applyBorder="1" applyAlignment="1">
      <alignment horizontal="center" vertical="top" wrapText="1"/>
    </xf>
    <xf numFmtId="0" fontId="30" fillId="0" borderId="1" xfId="0" applyFont="1" applyBorder="1" applyAlignment="1">
      <alignment horizontal="left" vertical="top" wrapText="1"/>
    </xf>
    <xf numFmtId="0" fontId="4" fillId="0" borderId="1" xfId="0" applyFont="1" applyBorder="1" applyAlignment="1">
      <alignment horizontal="center" vertical="top" wrapText="1"/>
    </xf>
    <xf numFmtId="0" fontId="24" fillId="0" borderId="1" xfId="0" applyFont="1" applyBorder="1" applyAlignment="1">
      <alignment horizontal="left" vertical="top" wrapText="1"/>
    </xf>
    <xf numFmtId="0" fontId="5" fillId="0" borderId="5" xfId="1" applyFont="1" applyBorder="1" applyAlignment="1">
      <alignment horizontal="center" vertical="top" wrapText="1"/>
    </xf>
    <xf numFmtId="9" fontId="5" fillId="0" borderId="9" xfId="1" applyNumberFormat="1" applyFont="1" applyBorder="1" applyAlignment="1">
      <alignment horizontal="center" vertical="top"/>
    </xf>
    <xf numFmtId="9" fontId="4" fillId="0" borderId="1" xfId="1" applyNumberFormat="1" applyFont="1" applyBorder="1" applyAlignment="1">
      <alignment horizontal="center" vertical="top" wrapText="1"/>
    </xf>
    <xf numFmtId="0" fontId="42" fillId="0" borderId="1" xfId="0" applyFont="1" applyBorder="1" applyAlignment="1">
      <alignment horizontal="center" vertical="top"/>
    </xf>
    <xf numFmtId="165" fontId="42" fillId="0" borderId="1" xfId="0" applyNumberFormat="1" applyFont="1" applyBorder="1" applyAlignment="1">
      <alignment horizontal="center" vertical="top"/>
    </xf>
    <xf numFmtId="2" fontId="42" fillId="0" borderId="1" xfId="0" applyNumberFormat="1" applyFont="1" applyBorder="1" applyAlignment="1">
      <alignment horizontal="center" vertical="top"/>
    </xf>
    <xf numFmtId="0" fontId="5" fillId="0" borderId="19" xfId="0" applyFont="1" applyBorder="1" applyAlignment="1">
      <alignment horizontal="center" vertical="top"/>
    </xf>
    <xf numFmtId="9" fontId="5" fillId="0" borderId="19" xfId="0" applyNumberFormat="1" applyFont="1" applyBorder="1" applyAlignment="1">
      <alignment horizontal="center" vertical="top" wrapText="1"/>
    </xf>
    <xf numFmtId="0" fontId="5" fillId="0" borderId="15" xfId="0" applyFont="1" applyBorder="1" applyAlignment="1">
      <alignment horizontal="center" vertical="top" wrapText="1"/>
    </xf>
    <xf numFmtId="9" fontId="5" fillId="0" borderId="15" xfId="0" applyNumberFormat="1" applyFont="1" applyBorder="1" applyAlignment="1">
      <alignment horizontal="center" vertical="top"/>
    </xf>
    <xf numFmtId="0" fontId="10" fillId="2" borderId="1" xfId="0" applyFont="1" applyFill="1" applyBorder="1" applyAlignment="1">
      <alignment horizontal="left" vertical="top"/>
    </xf>
    <xf numFmtId="0" fontId="42" fillId="2" borderId="1" xfId="0" applyFont="1" applyFill="1" applyBorder="1" applyAlignment="1">
      <alignment horizontal="left" vertical="top" wrapText="1"/>
    </xf>
    <xf numFmtId="0" fontId="5" fillId="0" borderId="15" xfId="0" applyFont="1" applyBorder="1" applyAlignment="1">
      <alignment horizontal="center" vertical="top"/>
    </xf>
    <xf numFmtId="0" fontId="5" fillId="0" borderId="16" xfId="0" applyFont="1" applyBorder="1" applyAlignment="1">
      <alignment horizontal="center" vertical="top"/>
    </xf>
    <xf numFmtId="0" fontId="42" fillId="2" borderId="1" xfId="0" applyFont="1" applyFill="1" applyBorder="1" applyAlignment="1">
      <alignment horizontal="left" vertical="top"/>
    </xf>
    <xf numFmtId="0" fontId="44" fillId="0" borderId="1" xfId="0" applyFont="1" applyBorder="1"/>
    <xf numFmtId="0" fontId="5" fillId="0" borderId="3" xfId="1" applyFont="1" applyBorder="1" applyAlignment="1">
      <alignment horizontal="center" vertical="top"/>
    </xf>
    <xf numFmtId="0" fontId="14" fillId="0" borderId="15" xfId="0" applyFont="1" applyBorder="1" applyAlignment="1">
      <alignment horizontal="center" vertical="top"/>
    </xf>
    <xf numFmtId="9" fontId="14" fillId="0" borderId="15" xfId="0" applyNumberFormat="1" applyFont="1" applyBorder="1" applyAlignment="1">
      <alignment horizontal="center" vertical="top"/>
    </xf>
    <xf numFmtId="0" fontId="14" fillId="0" borderId="15" xfId="0" applyFont="1" applyBorder="1" applyAlignment="1">
      <alignment horizontal="left" vertical="top" wrapText="1"/>
    </xf>
    <xf numFmtId="0" fontId="4" fillId="0" borderId="15" xfId="0" applyFont="1" applyBorder="1" applyAlignment="1">
      <alignment horizontal="center" vertical="top" wrapText="1"/>
    </xf>
    <xf numFmtId="165" fontId="4" fillId="0" borderId="12" xfId="0" quotePrefix="1" applyNumberFormat="1" applyFont="1" applyBorder="1" applyAlignment="1">
      <alignment horizontal="center" vertical="top"/>
    </xf>
    <xf numFmtId="0" fontId="14" fillId="0" borderId="24" xfId="0" applyFont="1" applyBorder="1" applyAlignment="1">
      <alignment vertical="top" wrapText="1"/>
    </xf>
    <xf numFmtId="0" fontId="5" fillId="0" borderId="15" xfId="0" applyFont="1" applyBorder="1" applyAlignment="1">
      <alignment horizontal="left" vertical="top" wrapText="1"/>
    </xf>
    <xf numFmtId="0" fontId="5" fillId="0" borderId="11" xfId="1" applyFont="1" applyBorder="1" applyAlignment="1">
      <alignment vertical="top" wrapText="1"/>
    </xf>
    <xf numFmtId="0" fontId="5" fillId="0" borderId="11" xfId="1" applyFont="1" applyBorder="1" applyAlignment="1">
      <alignment horizontal="left" vertical="top" wrapText="1"/>
    </xf>
    <xf numFmtId="0" fontId="4" fillId="0" borderId="19" xfId="0" applyFont="1" applyBorder="1" applyAlignment="1">
      <alignment horizontal="left" vertical="top" wrapText="1"/>
    </xf>
    <xf numFmtId="9" fontId="4" fillId="0" borderId="15" xfId="0" applyNumberFormat="1" applyFont="1" applyBorder="1" applyAlignment="1">
      <alignment horizontal="center" vertical="top"/>
    </xf>
    <xf numFmtId="9" fontId="4" fillId="0" borderId="19" xfId="0" applyNumberFormat="1" applyFont="1" applyBorder="1" applyAlignment="1">
      <alignment horizontal="center" vertical="top"/>
    </xf>
    <xf numFmtId="0" fontId="5" fillId="0" borderId="1" xfId="1" applyFont="1" applyBorder="1" applyAlignment="1">
      <alignment horizontal="left" vertical="top" wrapText="1" readingOrder="1"/>
    </xf>
    <xf numFmtId="0" fontId="8" fillId="0" borderId="1" xfId="1" applyFont="1" applyBorder="1" applyAlignment="1">
      <alignment horizontal="left" vertical="top" wrapText="1" readingOrder="1"/>
    </xf>
    <xf numFmtId="0" fontId="31" fillId="0" borderId="1" xfId="1" applyFont="1" applyBorder="1" applyAlignment="1">
      <alignment horizontal="center" vertical="top" wrapText="1"/>
    </xf>
    <xf numFmtId="21" fontId="6" fillId="0" borderId="1" xfId="1" quotePrefix="1" applyNumberFormat="1" applyFont="1" applyBorder="1" applyAlignment="1">
      <alignment horizontal="center" vertical="center" wrapText="1"/>
    </xf>
    <xf numFmtId="21" fontId="7" fillId="0" borderId="1" xfId="1" applyNumberFormat="1" applyFont="1" applyBorder="1" applyAlignment="1">
      <alignment horizontal="center" vertical="center"/>
    </xf>
    <xf numFmtId="0" fontId="7" fillId="0" borderId="1" xfId="1" applyFont="1" applyBorder="1" applyAlignment="1">
      <alignment vertical="center"/>
    </xf>
    <xf numFmtId="0" fontId="4" fillId="0" borderId="19" xfId="0" applyFont="1" applyBorder="1" applyAlignment="1">
      <alignment horizontal="center" vertical="top" wrapText="1"/>
    </xf>
    <xf numFmtId="9" fontId="4" fillId="0" borderId="15" xfId="0" applyNumberFormat="1" applyFont="1" applyBorder="1" applyAlignment="1">
      <alignment horizontal="center" vertical="top" wrapText="1"/>
    </xf>
    <xf numFmtId="0" fontId="6" fillId="0" borderId="3" xfId="1" applyFont="1" applyBorder="1" applyAlignment="1">
      <alignment horizontal="left" vertical="top"/>
    </xf>
    <xf numFmtId="0" fontId="7" fillId="0" borderId="1" xfId="1" applyFont="1" applyBorder="1" applyAlignment="1">
      <alignment horizontal="left" vertical="top"/>
    </xf>
    <xf numFmtId="0" fontId="7" fillId="0" borderId="3" xfId="1" applyFont="1" applyBorder="1" applyAlignment="1">
      <alignment horizontal="left" vertical="top"/>
    </xf>
    <xf numFmtId="165" fontId="4" fillId="0" borderId="3" xfId="0" applyNumberFormat="1" applyFont="1" applyBorder="1" applyAlignment="1">
      <alignment horizontal="center" vertical="top" wrapText="1"/>
    </xf>
    <xf numFmtId="165" fontId="4" fillId="3" borderId="13" xfId="0" applyNumberFormat="1" applyFont="1" applyFill="1" applyBorder="1" applyAlignment="1">
      <alignment vertical="top"/>
    </xf>
    <xf numFmtId="2" fontId="27" fillId="7" borderId="1" xfId="0" applyNumberFormat="1" applyFont="1" applyFill="1" applyBorder="1" applyAlignment="1">
      <alignment horizontal="center" vertical="top"/>
    </xf>
    <xf numFmtId="2" fontId="27" fillId="7" borderId="1" xfId="0" applyNumberFormat="1" applyFont="1" applyFill="1" applyBorder="1" applyAlignment="1">
      <alignment vertical="top"/>
    </xf>
    <xf numFmtId="165" fontId="4" fillId="7" borderId="1" xfId="0" applyNumberFormat="1" applyFont="1" applyFill="1" applyBorder="1" applyAlignment="1">
      <alignment vertical="top"/>
    </xf>
    <xf numFmtId="2" fontId="42" fillId="7" borderId="1" xfId="0" applyNumberFormat="1" applyFont="1" applyFill="1" applyBorder="1" applyAlignment="1">
      <alignment horizontal="center" vertical="top"/>
    </xf>
    <xf numFmtId="165" fontId="44" fillId="7" borderId="1" xfId="0" applyNumberFormat="1" applyFont="1" applyFill="1" applyBorder="1"/>
    <xf numFmtId="165" fontId="14" fillId="3" borderId="1" xfId="1" quotePrefix="1" applyNumberFormat="1" applyFont="1" applyFill="1" applyBorder="1" applyAlignment="1">
      <alignment horizontal="center" vertical="center" wrapText="1"/>
    </xf>
    <xf numFmtId="0" fontId="6" fillId="0" borderId="1" xfId="1" applyFont="1" applyBorder="1" applyAlignment="1">
      <alignment horizontal="left" vertical="center"/>
    </xf>
    <xf numFmtId="0" fontId="14" fillId="0" borderId="15" xfId="21" applyFont="1" applyBorder="1" applyAlignment="1">
      <alignment horizontal="left" vertical="top" wrapText="1"/>
    </xf>
    <xf numFmtId="9" fontId="4" fillId="0" borderId="24" xfId="21" applyNumberFormat="1" applyFont="1" applyBorder="1" applyAlignment="1">
      <alignment horizontal="left" vertical="top" wrapText="1"/>
    </xf>
    <xf numFmtId="0" fontId="4" fillId="0" borderId="15" xfId="21" applyFont="1" applyBorder="1" applyAlignment="1">
      <alignment horizontal="left" vertical="top" wrapText="1"/>
    </xf>
    <xf numFmtId="9" fontId="5" fillId="0" borderId="15" xfId="0" applyNumberFormat="1" applyFont="1" applyBorder="1" applyAlignment="1">
      <alignment horizontal="center" vertical="top" wrapText="1"/>
    </xf>
    <xf numFmtId="9" fontId="5" fillId="0" borderId="17" xfId="0" applyNumberFormat="1" applyFont="1" applyBorder="1" applyAlignment="1">
      <alignment horizontal="center" vertical="top" wrapText="1"/>
    </xf>
    <xf numFmtId="0" fontId="48" fillId="0" borderId="18" xfId="0" applyFont="1" applyBorder="1"/>
    <xf numFmtId="0" fontId="48" fillId="0" borderId="17" xfId="0" applyFont="1" applyBorder="1"/>
    <xf numFmtId="0" fontId="4" fillId="0" borderId="16" xfId="0" applyFont="1" applyBorder="1" applyAlignment="1">
      <alignment horizontal="center" vertical="top"/>
    </xf>
    <xf numFmtId="9" fontId="46" fillId="0" borderId="15" xfId="0" applyNumberFormat="1" applyFont="1" applyBorder="1" applyAlignment="1">
      <alignment horizontal="center" vertical="top"/>
    </xf>
    <xf numFmtId="9" fontId="46" fillId="0" borderId="15" xfId="0" applyNumberFormat="1" applyFont="1" applyBorder="1" applyAlignment="1">
      <alignment horizontal="center" vertical="top" wrapText="1"/>
    </xf>
    <xf numFmtId="0" fontId="47" fillId="0" borderId="16" xfId="0" applyFont="1" applyBorder="1" applyAlignment="1">
      <alignment vertical="top"/>
    </xf>
    <xf numFmtId="165" fontId="4" fillId="9" borderId="28" xfId="0" applyNumberFormat="1" applyFont="1" applyFill="1" applyBorder="1" applyAlignment="1">
      <alignment horizontal="center" vertical="center" wrapText="1"/>
    </xf>
    <xf numFmtId="165" fontId="4" fillId="10" borderId="15"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5" fontId="4" fillId="9" borderId="15" xfId="0" applyNumberFormat="1" applyFont="1" applyFill="1" applyBorder="1" applyAlignment="1">
      <alignment horizontal="center" vertical="center"/>
    </xf>
    <xf numFmtId="165" fontId="14" fillId="11" borderId="15" xfId="0" quotePrefix="1" applyNumberFormat="1" applyFont="1" applyFill="1" applyBorder="1" applyAlignment="1">
      <alignment horizontal="center" vertical="center" wrapText="1"/>
    </xf>
    <xf numFmtId="0" fontId="0" fillId="12" borderId="1" xfId="0" applyFill="1" applyBorder="1" applyAlignment="1">
      <alignment horizontal="center"/>
    </xf>
    <xf numFmtId="0" fontId="13" fillId="14" borderId="1" xfId="1" quotePrefix="1" applyFont="1" applyFill="1" applyBorder="1" applyAlignment="1">
      <alignment horizontal="left" vertical="center" wrapText="1"/>
    </xf>
    <xf numFmtId="0" fontId="6" fillId="15" borderId="1" xfId="1" applyFont="1" applyFill="1" applyBorder="1" applyAlignment="1">
      <alignment vertical="center"/>
    </xf>
    <xf numFmtId="0" fontId="6" fillId="15" borderId="1" xfId="1" applyFont="1" applyFill="1" applyBorder="1" applyAlignment="1">
      <alignment horizontal="center" vertical="center"/>
    </xf>
    <xf numFmtId="0" fontId="6" fillId="16" borderId="1" xfId="1" applyFont="1" applyFill="1" applyBorder="1" applyAlignment="1">
      <alignment vertical="center"/>
    </xf>
    <xf numFmtId="0" fontId="6" fillId="16" borderId="1" xfId="1" applyFont="1" applyFill="1" applyBorder="1" applyAlignment="1">
      <alignment horizontal="center" vertical="center"/>
    </xf>
    <xf numFmtId="0" fontId="6" fillId="16" borderId="1" xfId="1" applyFont="1" applyFill="1" applyBorder="1" applyAlignment="1">
      <alignment horizontal="left" vertical="top"/>
    </xf>
    <xf numFmtId="0" fontId="6" fillId="16" borderId="1" xfId="1" applyFont="1" applyFill="1" applyBorder="1" applyAlignment="1">
      <alignment horizontal="center" vertical="top"/>
    </xf>
    <xf numFmtId="21" fontId="7" fillId="16" borderId="1" xfId="1" quotePrefix="1" applyNumberFormat="1" applyFont="1" applyFill="1" applyBorder="1" applyAlignment="1">
      <alignment horizontal="left" vertical="top"/>
    </xf>
    <xf numFmtId="0" fontId="7" fillId="16" borderId="1" xfId="1" applyFont="1" applyFill="1" applyBorder="1" applyAlignment="1">
      <alignment horizontal="left" vertical="top" wrapText="1"/>
    </xf>
    <xf numFmtId="0" fontId="6" fillId="2" borderId="1" xfId="1" applyFont="1" applyFill="1" applyBorder="1" applyAlignment="1">
      <alignment horizontal="left" vertical="top"/>
    </xf>
    <xf numFmtId="0" fontId="0" fillId="2" borderId="1" xfId="0" applyFill="1" applyBorder="1"/>
    <xf numFmtId="0" fontId="6" fillId="12" borderId="1" xfId="1" applyFont="1" applyFill="1" applyBorder="1" applyAlignment="1">
      <alignment horizontal="left"/>
    </xf>
    <xf numFmtId="165" fontId="4" fillId="0" borderId="15" xfId="0" applyNumberFormat="1" applyFont="1" applyBorder="1" applyAlignment="1">
      <alignment horizontal="center" vertical="top"/>
    </xf>
    <xf numFmtId="0" fontId="14" fillId="0" borderId="1" xfId="1" applyFont="1" applyBorder="1" applyAlignment="1">
      <alignment horizontal="center" vertical="center"/>
    </xf>
    <xf numFmtId="0" fontId="14" fillId="0" borderId="10" xfId="1" applyFont="1" applyBorder="1" applyAlignment="1">
      <alignment horizontal="center" vertical="center"/>
    </xf>
    <xf numFmtId="0" fontId="4" fillId="0" borderId="29" xfId="0" applyFont="1" applyBorder="1" applyAlignment="1">
      <alignment horizontal="left" vertical="top" wrapText="1"/>
    </xf>
    <xf numFmtId="165" fontId="0" fillId="2" borderId="1" xfId="0" applyNumberForma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2" borderId="1" xfId="0" applyFont="1" applyFill="1" applyBorder="1" applyAlignment="1">
      <alignment horizontal="center" vertical="center" wrapText="1"/>
    </xf>
    <xf numFmtId="0" fontId="5" fillId="0" borderId="1" xfId="0" applyFont="1" applyBorder="1" applyAlignment="1">
      <alignment horizontal="center" vertical="center"/>
    </xf>
    <xf numFmtId="165" fontId="4" fillId="0" borderId="1" xfId="0" quotePrefix="1" applyNumberFormat="1" applyFont="1" applyBorder="1" applyAlignment="1">
      <alignment horizontal="center" vertical="center"/>
    </xf>
    <xf numFmtId="165" fontId="7" fillId="0" borderId="1" xfId="0" quotePrefix="1" applyNumberFormat="1" applyFont="1" applyBorder="1" applyAlignment="1">
      <alignment horizontal="center" vertical="center"/>
    </xf>
    <xf numFmtId="20" fontId="5" fillId="0" borderId="1" xfId="1" quotePrefix="1" applyNumberFormat="1" applyFont="1" applyBorder="1" applyAlignment="1">
      <alignment horizontal="center" vertical="top" wrapText="1"/>
    </xf>
    <xf numFmtId="0" fontId="5" fillId="0" borderId="1" xfId="1" quotePrefix="1" applyFont="1" applyBorder="1" applyAlignment="1">
      <alignment horizontal="center" vertical="top" wrapText="1"/>
    </xf>
    <xf numFmtId="9" fontId="5" fillId="2" borderId="1" xfId="1" applyNumberFormat="1" applyFont="1" applyFill="1" applyBorder="1" applyAlignment="1">
      <alignment horizontal="center" vertical="top" wrapText="1"/>
    </xf>
    <xf numFmtId="0" fontId="4" fillId="0" borderId="1" xfId="0" applyFont="1" applyBorder="1" applyAlignment="1">
      <alignment horizontal="center" vertical="center" wrapText="1"/>
    </xf>
    <xf numFmtId="0" fontId="5" fillId="2" borderId="1" xfId="1" applyFont="1" applyFill="1" applyBorder="1" applyAlignment="1">
      <alignment horizontal="center" vertical="top"/>
    </xf>
    <xf numFmtId="0" fontId="27" fillId="2" borderId="1" xfId="0" applyFont="1" applyFill="1" applyBorder="1" applyAlignment="1">
      <alignment horizontal="center" vertical="top"/>
    </xf>
    <xf numFmtId="165" fontId="27" fillId="2" borderId="1" xfId="0" applyNumberFormat="1" applyFont="1" applyFill="1" applyBorder="1" applyAlignment="1">
      <alignment horizontal="center" vertical="top"/>
    </xf>
    <xf numFmtId="2" fontId="27" fillId="2" borderId="1" xfId="0" applyNumberFormat="1" applyFont="1" applyFill="1" applyBorder="1" applyAlignment="1">
      <alignment horizontal="center" vertical="top"/>
    </xf>
    <xf numFmtId="0" fontId="0" fillId="2" borderId="0" xfId="0" applyFill="1"/>
    <xf numFmtId="0" fontId="5" fillId="2" borderId="11" xfId="1" applyFont="1" applyFill="1" applyBorder="1" applyAlignment="1">
      <alignment horizontal="left" vertical="top" wrapText="1"/>
    </xf>
    <xf numFmtId="2" fontId="0" fillId="2" borderId="1" xfId="0" applyNumberFormat="1" applyFill="1" applyBorder="1"/>
    <xf numFmtId="165" fontId="4" fillId="0" borderId="15" xfId="0" applyNumberFormat="1" applyFont="1" applyBorder="1" applyAlignment="1">
      <alignment horizontal="center" vertical="center"/>
    </xf>
    <xf numFmtId="0" fontId="4" fillId="17" borderId="33" xfId="0" applyFont="1" applyFill="1" applyBorder="1" applyAlignment="1">
      <alignment vertical="top"/>
    </xf>
    <xf numFmtId="0" fontId="4" fillId="17" borderId="34" xfId="0" applyFont="1" applyFill="1" applyBorder="1" applyAlignment="1">
      <alignment vertical="top"/>
    </xf>
    <xf numFmtId="2" fontId="4" fillId="18" borderId="35" xfId="0" applyNumberFormat="1" applyFont="1" applyFill="1" applyBorder="1" applyAlignment="1">
      <alignment vertical="top"/>
    </xf>
    <xf numFmtId="0" fontId="51" fillId="0" borderId="30" xfId="0" applyFont="1" applyBorder="1" applyAlignment="1">
      <alignment vertical="top" wrapText="1"/>
    </xf>
    <xf numFmtId="0" fontId="52" fillId="0" borderId="31" xfId="0" applyFont="1" applyBorder="1" applyAlignment="1">
      <alignment vertical="top" wrapText="1"/>
    </xf>
    <xf numFmtId="0" fontId="24" fillId="0" borderId="32" xfId="0" applyFont="1" applyBorder="1" applyAlignment="1">
      <alignment vertical="top" wrapText="1"/>
    </xf>
    <xf numFmtId="0" fontId="4" fillId="17" borderId="36" xfId="0" applyFont="1" applyFill="1" applyBorder="1" applyAlignment="1">
      <alignment vertical="top"/>
    </xf>
    <xf numFmtId="0" fontId="4" fillId="17" borderId="37" xfId="0" applyFont="1" applyFill="1" applyBorder="1" applyAlignment="1">
      <alignment vertical="top"/>
    </xf>
    <xf numFmtId="2" fontId="4" fillId="18" borderId="38" xfId="0" applyNumberFormat="1" applyFont="1" applyFill="1" applyBorder="1" applyAlignment="1">
      <alignment vertical="top"/>
    </xf>
    <xf numFmtId="0" fontId="52" fillId="0" borderId="30" xfId="0" applyFont="1" applyBorder="1" applyAlignment="1">
      <alignment vertical="top" wrapText="1"/>
    </xf>
    <xf numFmtId="0" fontId="36" fillId="0" borderId="5" xfId="0" applyFont="1" applyBorder="1" applyAlignment="1">
      <alignment vertical="top"/>
    </xf>
    <xf numFmtId="0" fontId="53" fillId="0" borderId="15" xfId="21" applyFont="1" applyBorder="1" applyAlignment="1">
      <alignment horizontal="center" vertical="center"/>
    </xf>
    <xf numFmtId="1" fontId="53" fillId="0" borderId="15" xfId="21" applyNumberFormat="1" applyFont="1" applyBorder="1" applyAlignment="1">
      <alignment horizontal="center" vertical="center"/>
    </xf>
    <xf numFmtId="0" fontId="53" fillId="0" borderId="19" xfId="21" applyFont="1" applyBorder="1" applyAlignment="1">
      <alignment horizontal="center" vertical="center"/>
    </xf>
    <xf numFmtId="1" fontId="4" fillId="0" borderId="15" xfId="0" applyNumberFormat="1" applyFont="1" applyBorder="1" applyAlignment="1">
      <alignment horizontal="center" vertical="center"/>
    </xf>
    <xf numFmtId="0" fontId="4" fillId="9" borderId="15" xfId="0" applyFont="1" applyFill="1" applyBorder="1" applyAlignment="1">
      <alignment horizontal="center" vertical="center"/>
    </xf>
    <xf numFmtId="0" fontId="4" fillId="0" borderId="15" xfId="0" applyFont="1" applyBorder="1" applyAlignment="1">
      <alignment horizontal="center" vertical="center"/>
    </xf>
    <xf numFmtId="165" fontId="0" fillId="0" borderId="0" xfId="0" applyNumberFormat="1"/>
    <xf numFmtId="165" fontId="39" fillId="12" borderId="1" xfId="0" applyNumberFormat="1" applyFont="1" applyFill="1" applyBorder="1" applyAlignment="1">
      <alignment horizontal="center" vertical="center"/>
    </xf>
    <xf numFmtId="165" fontId="39" fillId="8" borderId="1" xfId="0" applyNumberFormat="1" applyFont="1" applyFill="1" applyBorder="1" applyAlignment="1">
      <alignment horizontal="center" vertical="center"/>
    </xf>
    <xf numFmtId="165" fontId="39" fillId="14" borderId="1" xfId="0" applyNumberFormat="1" applyFont="1" applyFill="1" applyBorder="1" applyAlignment="1">
      <alignment horizontal="center" vertical="center"/>
    </xf>
    <xf numFmtId="165" fontId="39" fillId="0" borderId="1" xfId="1" applyNumberFormat="1" applyFont="1" applyBorder="1" applyAlignment="1">
      <alignment horizontal="center" vertical="center"/>
    </xf>
    <xf numFmtId="165" fontId="39" fillId="0" borderId="1" xfId="0" applyNumberFormat="1" applyFont="1" applyBorder="1" applyAlignment="1">
      <alignment horizontal="center" vertical="center"/>
    </xf>
    <xf numFmtId="165" fontId="39" fillId="15" borderId="1" xfId="0" applyNumberFormat="1" applyFont="1" applyFill="1" applyBorder="1" applyAlignment="1">
      <alignment horizontal="center" vertical="center"/>
    </xf>
    <xf numFmtId="165" fontId="39" fillId="16" borderId="1" xfId="0" applyNumberFormat="1" applyFont="1" applyFill="1" applyBorder="1" applyAlignment="1">
      <alignment horizontal="center" vertical="center"/>
    </xf>
    <xf numFmtId="165" fontId="39" fillId="2" borderId="1" xfId="0" applyNumberFormat="1" applyFont="1" applyFill="1" applyBorder="1" applyAlignment="1">
      <alignment horizontal="center" vertical="center"/>
    </xf>
    <xf numFmtId="165" fontId="50" fillId="0" borderId="1" xfId="0" applyNumberFormat="1" applyFont="1" applyBorder="1" applyAlignment="1">
      <alignment horizontal="center" vertical="center"/>
    </xf>
    <xf numFmtId="10" fontId="4" fillId="0" borderId="1" xfId="1" applyNumberFormat="1" applyFont="1" applyBorder="1" applyAlignment="1">
      <alignment horizontal="center" vertical="top"/>
    </xf>
    <xf numFmtId="165" fontId="27" fillId="7" borderId="1" xfId="0" applyNumberFormat="1" applyFont="1" applyFill="1" applyBorder="1" applyAlignment="1">
      <alignment horizontal="center" vertical="top"/>
    </xf>
    <xf numFmtId="1" fontId="27" fillId="0" borderId="1" xfId="0" applyNumberFormat="1" applyFont="1" applyBorder="1" applyAlignment="1">
      <alignment horizontal="center" vertical="top"/>
    </xf>
    <xf numFmtId="0" fontId="13" fillId="0" borderId="3" xfId="1" applyFont="1" applyBorder="1" applyAlignment="1">
      <alignment vertical="top"/>
    </xf>
    <xf numFmtId="0" fontId="13" fillId="0" borderId="4" xfId="1" applyFont="1" applyBorder="1" applyAlignment="1">
      <alignment vertical="top"/>
    </xf>
    <xf numFmtId="0" fontId="13" fillId="0" borderId="5" xfId="1" applyFont="1" applyBorder="1" applyAlignment="1">
      <alignment vertical="top"/>
    </xf>
    <xf numFmtId="0" fontId="13" fillId="0" borderId="3" xfId="1" applyFont="1" applyBorder="1" applyAlignment="1">
      <alignment horizontal="left" vertical="top" wrapText="1"/>
    </xf>
    <xf numFmtId="0" fontId="13" fillId="0" borderId="4" xfId="1" applyFont="1" applyBorder="1" applyAlignment="1">
      <alignment horizontal="left" vertical="top" wrapText="1"/>
    </xf>
    <xf numFmtId="0" fontId="13" fillId="0" borderId="5" xfId="1" applyFont="1" applyBorder="1" applyAlignment="1">
      <alignment horizontal="left" vertical="top"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7" fillId="0" borderId="0" xfId="1" applyFont="1" applyAlignment="1">
      <alignment horizontal="right" wrapText="1"/>
    </xf>
    <xf numFmtId="0" fontId="14" fillId="0" borderId="0" xfId="1" applyFont="1" applyAlignment="1">
      <alignment horizontal="center"/>
    </xf>
    <xf numFmtId="0" fontId="14" fillId="0" borderId="1"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3" fillId="0" borderId="0" xfId="1" applyFont="1" applyAlignment="1">
      <alignment horizontal="center" wrapText="1"/>
    </xf>
    <xf numFmtId="0" fontId="46" fillId="0" borderId="16" xfId="0" applyFont="1" applyBorder="1" applyAlignment="1">
      <alignment horizontal="left" vertical="top" wrapText="1"/>
    </xf>
    <xf numFmtId="0" fontId="48" fillId="0" borderId="17" xfId="0" applyFont="1" applyBorder="1"/>
    <xf numFmtId="0" fontId="7" fillId="0" borderId="26" xfId="0" applyFont="1" applyBorder="1" applyAlignment="1">
      <alignment horizontal="left" vertical="top"/>
    </xf>
    <xf numFmtId="0" fontId="7" fillId="0" borderId="27" xfId="0" applyFont="1" applyBorder="1" applyAlignment="1">
      <alignment horizontal="left" vertical="top"/>
    </xf>
    <xf numFmtId="0" fontId="7" fillId="0" borderId="14" xfId="0" applyFont="1" applyBorder="1" applyAlignment="1">
      <alignment horizontal="left" vertical="top"/>
    </xf>
    <xf numFmtId="0" fontId="13" fillId="0" borderId="16" xfId="0" applyFont="1" applyBorder="1" applyAlignment="1">
      <alignment horizontal="left" vertical="top"/>
    </xf>
    <xf numFmtId="0" fontId="48" fillId="0" borderId="18" xfId="0" applyFont="1" applyBorder="1"/>
    <xf numFmtId="0" fontId="46" fillId="0" borderId="18" xfId="0" applyFont="1" applyBorder="1" applyAlignment="1">
      <alignment horizontal="left" vertical="top" wrapText="1"/>
    </xf>
    <xf numFmtId="0" fontId="47" fillId="0" borderId="16" xfId="0" applyFont="1" applyBorder="1" applyAlignment="1">
      <alignment horizontal="left" vertical="top"/>
    </xf>
    <xf numFmtId="0" fontId="46" fillId="0" borderId="16" xfId="0" applyFont="1" applyBorder="1" applyAlignment="1">
      <alignment horizontal="left" vertical="top" wrapText="1" readingOrder="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28" fillId="0" borderId="0" xfId="1" applyFont="1" applyAlignment="1">
      <alignment horizontal="left" vertical="center" wrapText="1"/>
    </xf>
    <xf numFmtId="0" fontId="6" fillId="0" borderId="3" xfId="1" applyFont="1" applyBorder="1" applyAlignment="1">
      <alignment horizontal="left" vertical="top" wrapText="1"/>
    </xf>
    <xf numFmtId="0" fontId="6" fillId="0" borderId="4" xfId="1" applyFont="1" applyBorder="1" applyAlignment="1">
      <alignment horizontal="left" vertical="top" wrapText="1"/>
    </xf>
    <xf numFmtId="0" fontId="6" fillId="0" borderId="5" xfId="1" applyFont="1" applyBorder="1" applyAlignment="1">
      <alignment horizontal="left" vertical="top" wrapText="1"/>
    </xf>
    <xf numFmtId="21" fontId="6" fillId="0" borderId="3" xfId="1" quotePrefix="1" applyNumberFormat="1" applyFont="1" applyBorder="1" applyAlignment="1">
      <alignment horizontal="left" vertical="top" wrapText="1"/>
    </xf>
    <xf numFmtId="21" fontId="6" fillId="0" borderId="4" xfId="1" quotePrefix="1" applyNumberFormat="1" applyFont="1" applyBorder="1" applyAlignment="1">
      <alignment horizontal="left" vertical="top" wrapText="1"/>
    </xf>
    <xf numFmtId="21" fontId="6" fillId="0" borderId="5" xfId="1" quotePrefix="1" applyNumberFormat="1" applyFont="1" applyBorder="1" applyAlignment="1">
      <alignment horizontal="left" vertical="top" wrapText="1"/>
    </xf>
    <xf numFmtId="0" fontId="6" fillId="0" borderId="3" xfId="1" applyFont="1" applyBorder="1" applyAlignment="1">
      <alignment horizontal="left" vertical="top"/>
    </xf>
    <xf numFmtId="0" fontId="6" fillId="0" borderId="4" xfId="1" applyFont="1" applyBorder="1" applyAlignment="1">
      <alignment horizontal="left" vertical="top"/>
    </xf>
    <xf numFmtId="0" fontId="6" fillId="0" borderId="5" xfId="1" applyFont="1" applyBorder="1" applyAlignment="1">
      <alignment horizontal="left" vertical="top"/>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6" fillId="0" borderId="1" xfId="1" applyFont="1" applyBorder="1" applyAlignment="1">
      <alignment horizontal="left" vertical="top" wrapText="1"/>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4" fillId="0" borderId="16" xfId="0" applyFont="1" applyBorder="1" applyAlignment="1">
      <alignment horizontal="left" vertical="top" wrapText="1"/>
    </xf>
    <xf numFmtId="0" fontId="43" fillId="0" borderId="17" xfId="0" applyFont="1" applyBorder="1"/>
    <xf numFmtId="0" fontId="4" fillId="0" borderId="1" xfId="1" applyFont="1" applyBorder="1" applyAlignment="1">
      <alignment horizontal="left" vertical="top" wrapText="1"/>
    </xf>
    <xf numFmtId="0" fontId="5" fillId="0" borderId="1" xfId="1" applyFont="1" applyBorder="1" applyAlignment="1">
      <alignment horizontal="left" vertical="top" wrapText="1"/>
    </xf>
    <xf numFmtId="0" fontId="4" fillId="0" borderId="1" xfId="0" applyFont="1" applyBorder="1" applyAlignment="1">
      <alignment horizontal="left" vertical="top" wrapText="1"/>
    </xf>
    <xf numFmtId="0" fontId="5" fillId="0" borderId="2" xfId="1" applyFont="1" applyBorder="1" applyAlignment="1">
      <alignment horizontal="center" vertical="center" wrapText="1"/>
    </xf>
    <xf numFmtId="0" fontId="5" fillId="0" borderId="9"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1" quotePrefix="1" applyFont="1" applyBorder="1" applyAlignment="1">
      <alignment horizontal="center" vertical="center" wrapText="1"/>
    </xf>
    <xf numFmtId="15" fontId="6" fillId="0" borderId="0" xfId="1" quotePrefix="1" applyNumberFormat="1" applyFont="1" applyAlignment="1">
      <alignment horizontal="right" vertical="top"/>
    </xf>
    <xf numFmtId="0" fontId="5" fillId="0" borderId="0" xfId="1" applyFont="1" applyAlignment="1">
      <alignment horizontal="left" vertical="top" wrapText="1"/>
    </xf>
    <xf numFmtId="0" fontId="6" fillId="0" borderId="1" xfId="1" applyFont="1" applyBorder="1" applyAlignment="1">
      <alignment horizontal="left" vertical="top"/>
    </xf>
    <xf numFmtId="0" fontId="5" fillId="0" borderId="9" xfId="1" applyFont="1" applyBorder="1" applyAlignment="1">
      <alignment horizontal="left" vertical="top"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23" fillId="0" borderId="0" xfId="1" applyFont="1" applyAlignment="1">
      <alignment horizontal="center" vertical="center" wrapText="1"/>
    </xf>
    <xf numFmtId="0" fontId="4" fillId="0" borderId="1" xfId="1" applyFont="1" applyBorder="1" applyAlignment="1">
      <alignment horizontal="left" vertical="top"/>
    </xf>
    <xf numFmtId="0" fontId="13" fillId="4" borderId="16" xfId="0" applyFont="1" applyFill="1" applyBorder="1" applyAlignment="1">
      <alignment horizontal="left" vertical="top"/>
    </xf>
    <xf numFmtId="0" fontId="43" fillId="4" borderId="18" xfId="0" applyFont="1" applyFill="1" applyBorder="1"/>
    <xf numFmtId="0" fontId="43" fillId="4" borderId="17" xfId="0" applyFont="1" applyFill="1" applyBorder="1"/>
    <xf numFmtId="0" fontId="5" fillId="0" borderId="16" xfId="0" applyFont="1" applyBorder="1" applyAlignment="1">
      <alignment horizontal="left" vertical="top" wrapText="1"/>
    </xf>
    <xf numFmtId="0" fontId="6" fillId="0" borderId="16" xfId="0" applyFont="1" applyBorder="1" applyAlignment="1">
      <alignment horizontal="left" vertical="top"/>
    </xf>
    <xf numFmtId="0" fontId="43" fillId="0" borderId="18" xfId="0" applyFont="1" applyBorder="1"/>
    <xf numFmtId="0" fontId="5" fillId="0" borderId="3" xfId="1" applyFont="1" applyBorder="1" applyAlignment="1">
      <alignment horizontal="left" vertical="top" wrapText="1"/>
    </xf>
    <xf numFmtId="0" fontId="5" fillId="0" borderId="5" xfId="1"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2" borderId="1" xfId="1" applyFont="1" applyFill="1" applyBorder="1" applyAlignment="1">
      <alignment horizontal="left" vertical="top" wrapText="1"/>
    </xf>
    <xf numFmtId="0" fontId="5" fillId="0" borderId="25" xfId="0" applyFont="1" applyBorder="1" applyAlignment="1">
      <alignment horizontal="left" vertical="top" wrapText="1"/>
    </xf>
    <xf numFmtId="0" fontId="7" fillId="0" borderId="1" xfId="1" applyFont="1" applyBorder="1" applyAlignment="1">
      <alignment horizontal="left" vertical="top"/>
    </xf>
    <xf numFmtId="0" fontId="14" fillId="0" borderId="10" xfId="1" applyFont="1" applyBorder="1" applyAlignment="1">
      <alignment horizontal="left" vertical="center" wrapText="1"/>
    </xf>
    <xf numFmtId="0" fontId="14" fillId="0" borderId="0" xfId="1" applyFont="1" applyAlignment="1">
      <alignment horizontal="left" vertical="center" wrapText="1"/>
    </xf>
    <xf numFmtId="0" fontId="4" fillId="0" borderId="0" xfId="1" applyFont="1" applyAlignment="1">
      <alignment horizontal="right" vertical="center"/>
    </xf>
    <xf numFmtId="0" fontId="7" fillId="0" borderId="0" xfId="1" applyFont="1" applyAlignment="1">
      <alignment horizontal="center" vertical="center"/>
    </xf>
    <xf numFmtId="0" fontId="4" fillId="0" borderId="1" xfId="1" applyFont="1" applyBorder="1" applyAlignment="1">
      <alignment horizontal="center" vertical="center"/>
    </xf>
    <xf numFmtId="0" fontId="4" fillId="2" borderId="1" xfId="1" applyFont="1" applyFill="1" applyBorder="1" applyAlignment="1">
      <alignment horizontal="center" vertical="center" wrapText="1"/>
    </xf>
    <xf numFmtId="0" fontId="6" fillId="0" borderId="1" xfId="1" applyFont="1" applyBorder="1" applyAlignment="1">
      <alignment horizontal="left"/>
    </xf>
    <xf numFmtId="0" fontId="5" fillId="0" borderId="1" xfId="14" applyFont="1" applyBorder="1" applyAlignment="1">
      <alignment horizontal="left" vertical="top" wrapText="1"/>
    </xf>
    <xf numFmtId="0" fontId="4" fillId="0" borderId="1" xfId="1" quotePrefix="1" applyFont="1" applyBorder="1" applyAlignment="1">
      <alignment horizontal="center" vertical="center"/>
    </xf>
    <xf numFmtId="0" fontId="6" fillId="0" borderId="1" xfId="1" applyFont="1" applyBorder="1" applyAlignment="1">
      <alignment horizontal="left" vertical="center" wrapText="1"/>
    </xf>
    <xf numFmtId="0" fontId="6" fillId="0" borderId="1" xfId="1" applyFont="1" applyBorder="1" applyAlignment="1">
      <alignment vertical="top" wrapText="1"/>
    </xf>
    <xf numFmtId="0" fontId="4" fillId="0" borderId="3" xfId="1" applyFont="1" applyBorder="1" applyAlignment="1">
      <alignment horizontal="left" wrapText="1"/>
    </xf>
    <xf numFmtId="0" fontId="4" fillId="0" borderId="4" xfId="1" applyFont="1" applyBorder="1" applyAlignment="1">
      <alignment horizontal="left" wrapText="1"/>
    </xf>
    <xf numFmtId="0" fontId="6" fillId="0" borderId="1" xfId="1" quotePrefix="1" applyFont="1" applyBorder="1" applyAlignment="1">
      <alignment horizontal="left" vertical="top" wrapText="1"/>
    </xf>
    <xf numFmtId="0" fontId="24" fillId="0" borderId="0" xfId="0" applyFont="1" applyAlignment="1">
      <alignment horizontal="left" vertical="center" wrapText="1"/>
    </xf>
    <xf numFmtId="0" fontId="7" fillId="0" borderId="0" xfId="1" applyFont="1" applyAlignment="1">
      <alignment horizontal="right" vertical="center"/>
    </xf>
    <xf numFmtId="0" fontId="7" fillId="0" borderId="0" xfId="1" applyFont="1" applyAlignment="1">
      <alignment horizontal="center" vertical="center" wrapText="1"/>
    </xf>
    <xf numFmtId="0" fontId="4" fillId="0" borderId="1" xfId="1" applyFont="1" applyBorder="1" applyAlignment="1">
      <alignment horizontal="center" wrapText="1"/>
    </xf>
    <xf numFmtId="0" fontId="6" fillId="12" borderId="1" xfId="1" applyFont="1" applyFill="1" applyBorder="1" applyAlignment="1">
      <alignment horizontal="left" vertical="top" wrapText="1"/>
    </xf>
    <xf numFmtId="165" fontId="4" fillId="13" borderId="1" xfId="0" applyNumberFormat="1" applyFont="1" applyFill="1" applyBorder="1" applyAlignment="1">
      <alignment horizontal="center" vertical="center"/>
    </xf>
    <xf numFmtId="0" fontId="6" fillId="12" borderId="1" xfId="1" applyFont="1" applyFill="1" applyBorder="1" applyAlignment="1">
      <alignment horizontal="left" vertical="center" wrapText="1"/>
    </xf>
    <xf numFmtId="0" fontId="6" fillId="16" borderId="1" xfId="1" applyFont="1" applyFill="1" applyBorder="1" applyAlignment="1">
      <alignment horizontal="left" vertical="top" wrapText="1"/>
    </xf>
    <xf numFmtId="21" fontId="6" fillId="16" borderId="1" xfId="1" quotePrefix="1" applyNumberFormat="1" applyFont="1" applyFill="1" applyBorder="1" applyAlignment="1">
      <alignment horizontal="left" vertical="top" wrapText="1"/>
    </xf>
    <xf numFmtId="0" fontId="4" fillId="13" borderId="1" xfId="0" applyFont="1" applyFill="1" applyBorder="1" applyAlignment="1">
      <alignment horizontal="center" vertical="center"/>
    </xf>
    <xf numFmtId="0" fontId="13" fillId="12" borderId="3" xfId="1" applyFont="1" applyFill="1" applyBorder="1" applyAlignment="1">
      <alignment horizontal="left" vertical="center" wrapText="1"/>
    </xf>
    <xf numFmtId="0" fontId="13" fillId="12" borderId="5" xfId="1" applyFont="1" applyFill="1" applyBorder="1" applyAlignment="1">
      <alignment horizontal="left" vertical="center" wrapText="1"/>
    </xf>
    <xf numFmtId="0" fontId="13" fillId="8" borderId="3" xfId="1" applyFont="1" applyFill="1" applyBorder="1" applyAlignment="1">
      <alignment horizontal="left" vertical="center" wrapText="1"/>
    </xf>
    <xf numFmtId="0" fontId="13" fillId="8" borderId="5" xfId="1" applyFont="1" applyFill="1" applyBorder="1" applyAlignment="1">
      <alignment horizontal="left" vertical="center" wrapText="1"/>
    </xf>
    <xf numFmtId="0" fontId="6" fillId="12" borderId="3" xfId="1" applyFont="1" applyFill="1" applyBorder="1" applyAlignment="1">
      <alignment horizontal="left" vertical="center" wrapText="1"/>
    </xf>
    <xf numFmtId="0" fontId="6" fillId="12" borderId="5" xfId="1" applyFont="1" applyFill="1" applyBorder="1" applyAlignment="1">
      <alignment horizontal="left" vertical="center" wrapText="1"/>
    </xf>
    <xf numFmtId="0" fontId="14" fillId="13" borderId="1" xfId="1" applyFont="1" applyFill="1" applyBorder="1" applyAlignment="1">
      <alignment horizontal="center" vertical="center" wrapText="1"/>
    </xf>
    <xf numFmtId="1" fontId="4" fillId="9" borderId="15" xfId="24" applyNumberFormat="1" applyFont="1" applyFill="1" applyBorder="1" applyAlignment="1">
      <alignment horizontal="center" vertical="center" wrapText="1"/>
    </xf>
    <xf numFmtId="2" fontId="4" fillId="9" borderId="15" xfId="24" applyNumberFormat="1" applyFont="1" applyFill="1" applyBorder="1" applyAlignment="1">
      <alignment horizontal="center" vertical="center"/>
    </xf>
    <xf numFmtId="1" fontId="4" fillId="9" borderId="15" xfId="24" applyNumberFormat="1" applyFont="1" applyFill="1" applyBorder="1" applyAlignment="1">
      <alignment horizontal="center" vertical="center"/>
    </xf>
    <xf numFmtId="1" fontId="4" fillId="9" borderId="15" xfId="24" applyNumberFormat="1" applyFont="1" applyFill="1" applyBorder="1" applyAlignment="1">
      <alignment horizontal="center" vertical="center" wrapText="1"/>
    </xf>
    <xf numFmtId="0" fontId="4" fillId="0" borderId="16" xfId="24" applyFont="1" applyBorder="1" applyAlignment="1">
      <alignment horizontal="left" vertical="center" wrapText="1"/>
    </xf>
    <xf numFmtId="0" fontId="4" fillId="0" borderId="1" xfId="24" applyFont="1" applyBorder="1" applyAlignment="1">
      <alignment horizontal="left" vertical="center" wrapText="1"/>
    </xf>
    <xf numFmtId="0" fontId="4" fillId="0" borderId="1" xfId="24" applyFont="1" applyBorder="1" applyAlignment="1">
      <alignment horizontal="left" vertical="top" wrapText="1"/>
    </xf>
    <xf numFmtId="0" fontId="4" fillId="0" borderId="16" xfId="24" applyFont="1" applyBorder="1" applyAlignment="1">
      <alignment horizontal="left" vertical="top" wrapText="1"/>
    </xf>
    <xf numFmtId="0" fontId="4" fillId="0" borderId="1" xfId="24" applyFont="1" applyBorder="1" applyAlignment="1">
      <alignment horizontal="left" vertical="top" wrapText="1"/>
    </xf>
    <xf numFmtId="0" fontId="4" fillId="0" borderId="16" xfId="24" applyFont="1" applyBorder="1" applyAlignment="1">
      <alignment horizontal="left" vertical="top" wrapText="1"/>
    </xf>
    <xf numFmtId="0" fontId="4" fillId="19" borderId="15" xfId="31" applyFont="1" applyFill="1" applyBorder="1" applyAlignment="1">
      <alignment horizontal="center" vertical="center"/>
    </xf>
    <xf numFmtId="0" fontId="4" fillId="9" borderId="15" xfId="31" applyFont="1" applyFill="1" applyBorder="1" applyAlignment="1">
      <alignment horizontal="center" vertical="center"/>
    </xf>
    <xf numFmtId="0" fontId="4" fillId="0" borderId="15" xfId="31" applyFont="1" applyBorder="1" applyAlignment="1">
      <alignment horizontal="center" vertical="center"/>
    </xf>
    <xf numFmtId="0" fontId="4" fillId="9" borderId="15" xfId="31" applyFont="1" applyFill="1" applyBorder="1" applyAlignment="1">
      <alignment horizontal="center" vertical="center"/>
    </xf>
    <xf numFmtId="165" fontId="4" fillId="3" borderId="1" xfId="0" applyNumberFormat="1" applyFont="1" applyFill="1" applyBorder="1" applyAlignment="1">
      <alignment horizontal="center"/>
    </xf>
    <xf numFmtId="165" fontId="0" fillId="4" borderId="1" xfId="0" applyNumberFormat="1" applyFill="1" applyBorder="1" applyAlignment="1">
      <alignment horizontal="center"/>
    </xf>
    <xf numFmtId="0" fontId="0" fillId="2" borderId="1" xfId="0" applyFill="1" applyBorder="1" applyAlignment="1">
      <alignment wrapText="1"/>
    </xf>
    <xf numFmtId="0" fontId="4"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168" fontId="61" fillId="0" borderId="0" xfId="32" applyFont="1" applyAlignment="1">
      <alignment wrapText="1"/>
    </xf>
    <xf numFmtId="0" fontId="27" fillId="0" borderId="0" xfId="1" applyFont="1" applyAlignment="1">
      <alignment wrapText="1"/>
    </xf>
    <xf numFmtId="0" fontId="30" fillId="0" borderId="8" xfId="1" applyFont="1" applyBorder="1" applyAlignment="1">
      <alignment horizontal="center" vertical="center" wrapText="1"/>
    </xf>
    <xf numFmtId="0" fontId="30" fillId="0" borderId="4" xfId="1" applyFont="1" applyBorder="1" applyAlignment="1">
      <alignment horizontal="center" vertical="center" wrapText="1"/>
    </xf>
    <xf numFmtId="0" fontId="26" fillId="0" borderId="4" xfId="1" applyFont="1" applyBorder="1" applyAlignment="1">
      <alignment wrapText="1"/>
    </xf>
    <xf numFmtId="0" fontId="26" fillId="0" borderId="5" xfId="1" applyFont="1" applyBorder="1" applyAlignment="1">
      <alignment wrapText="1"/>
    </xf>
    <xf numFmtId="0" fontId="55" fillId="0" borderId="1" xfId="0" applyFont="1" applyBorder="1" applyAlignment="1">
      <alignment wrapText="1"/>
    </xf>
    <xf numFmtId="41" fontId="55" fillId="0" borderId="1" xfId="23" applyFont="1" applyBorder="1" applyAlignment="1">
      <alignment horizontal="left" vertical="top" wrapText="1"/>
    </xf>
    <xf numFmtId="41" fontId="55" fillId="0" borderId="0" xfId="23" applyFont="1" applyAlignment="1">
      <alignment horizontal="left" vertical="top" wrapText="1"/>
    </xf>
    <xf numFmtId="0" fontId="0" fillId="0" borderId="0" xfId="0"/>
    <xf numFmtId="0" fontId="0" fillId="0" borderId="0" xfId="0" applyAlignment="1">
      <alignment wrapText="1"/>
    </xf>
    <xf numFmtId="168" fontId="61" fillId="0" borderId="0" xfId="33" applyFont="1" applyAlignment="1">
      <alignment wrapText="1"/>
    </xf>
    <xf numFmtId="0" fontId="33" fillId="0" borderId="0" xfId="0" applyFont="1" applyAlignment="1">
      <alignment vertical="center"/>
    </xf>
    <xf numFmtId="0" fontId="33" fillId="0" borderId="0" xfId="0" applyFont="1" applyAlignment="1">
      <alignment vertical="center" wrapText="1"/>
    </xf>
    <xf numFmtId="20" fontId="33" fillId="0" borderId="0" xfId="0" applyNumberFormat="1" applyFont="1" applyAlignment="1">
      <alignment vertical="center" wrapText="1"/>
    </xf>
    <xf numFmtId="0" fontId="55" fillId="0" borderId="1" xfId="23" applyNumberFormat="1" applyFont="1" applyBorder="1" applyAlignment="1">
      <alignment horizontal="left" vertical="top" wrapText="1"/>
    </xf>
    <xf numFmtId="0" fontId="62" fillId="6" borderId="0" xfId="0" applyFont="1" applyFill="1"/>
    <xf numFmtId="177" fontId="57" fillId="0" borderId="0" xfId="0" applyNumberFormat="1" applyFont="1"/>
    <xf numFmtId="0" fontId="0" fillId="0" borderId="0" xfId="0"/>
    <xf numFmtId="0" fontId="62" fillId="6" borderId="0" xfId="0" applyFont="1" applyFill="1" applyAlignment="1">
      <alignment wrapText="1"/>
    </xf>
    <xf numFmtId="0" fontId="0" fillId="0" borderId="3" xfId="0" applyBorder="1" applyAlignment="1">
      <alignment wrapText="1"/>
    </xf>
    <xf numFmtId="0" fontId="55" fillId="0" borderId="1" xfId="0" applyFont="1" applyBorder="1" applyAlignment="1">
      <alignment vertical="top" wrapText="1"/>
    </xf>
    <xf numFmtId="0" fontId="63" fillId="0" borderId="0" xfId="0" applyFont="1" applyAlignment="1">
      <alignment wrapText="1"/>
    </xf>
    <xf numFmtId="0" fontId="63" fillId="0" borderId="0" xfId="0" applyFont="1" applyAlignment="1">
      <alignment horizontal="center" wrapText="1"/>
    </xf>
  </cellXfs>
  <cellStyles count="57">
    <cellStyle name="Comma [0]" xfId="23" builtinId="6"/>
    <cellStyle name="Comma [0] 2" xfId="3" xr:uid="{00000000-0005-0000-0000-000000000000}"/>
    <cellStyle name="Comma [0] 2 2" xfId="5" xr:uid="{00000000-0005-0000-0000-000001000000}"/>
    <cellStyle name="Comma [0] 2 2 2" xfId="18" xr:uid="{F66511DE-CC20-46F8-883B-1AE9F7996C8E}"/>
    <cellStyle name="Comma [0] 2 3" xfId="8" xr:uid="{00000000-0005-0000-0000-000002000000}"/>
    <cellStyle name="Comma [0] 2 3 2" xfId="19" xr:uid="{DFDABD31-1366-4E09-BC33-5A15DC319762}"/>
    <cellStyle name="Comma [0] 2 4" xfId="11" xr:uid="{00000000-0005-0000-0000-000003000000}"/>
    <cellStyle name="Comma [0] 2 4 2" xfId="15" xr:uid="{00000000-0005-0000-0000-000004000000}"/>
    <cellStyle name="Comma [0] 2 4 2 2" xfId="22" xr:uid="{FA4560C7-E9C9-4D93-B3C4-77162A6B3AB3}"/>
    <cellStyle name="Comma [0] 2 4 3" xfId="20" xr:uid="{78F48720-1908-433C-AA1E-C65CE623BC2F}"/>
    <cellStyle name="Comma [0] 2 5" xfId="17" xr:uid="{78CD19A4-A636-4B6A-8DEB-BD8C1652F76D}"/>
    <cellStyle name="Comma [0] 2 6" xfId="33" xr:uid="{430AC78E-3F5A-42A7-BE78-D01048349ED0}"/>
    <cellStyle name="Comma [0] 3" xfId="32" xr:uid="{B8783BD4-4B27-428F-ADF1-B6B1ED62F166}"/>
    <cellStyle name="Comma 2" xfId="25" xr:uid="{89A03A61-7824-4340-9ECA-4F0CDF191AF7}"/>
    <cellStyle name="Comma 3" xfId="28" xr:uid="{7E56B1BB-FB95-47EF-89DD-F0299C6D6B2C}"/>
    <cellStyle name="Comma 4" xfId="27" xr:uid="{52E5C37A-A7C8-475A-801E-B7FDEDDEA2F4}"/>
    <cellStyle name="Comma 5" xfId="29" xr:uid="{9A8DA088-998C-4A15-8833-A382913C5B42}"/>
    <cellStyle name="Comma 6" xfId="30" xr:uid="{5153F8F5-78FE-4F11-ABF3-2D2BB74D3F55}"/>
    <cellStyle name="Normal" xfId="0" builtinId="0"/>
    <cellStyle name="Normal 10" xfId="34" xr:uid="{5C216A0B-EB89-4FC5-8BBA-12B516EC62BA}"/>
    <cellStyle name="Normal 11" xfId="35" xr:uid="{E64CAA5D-A70C-4D12-A3E9-B1AD123F3B0F}"/>
    <cellStyle name="Normal 12" xfId="36" xr:uid="{E3B02FA0-BB7E-464C-B70F-C49CC34C8B74}"/>
    <cellStyle name="Normal 13" xfId="37" xr:uid="{1BDB01A1-ACA1-476F-8AB6-FF45264A0936}"/>
    <cellStyle name="Normal 14" xfId="38" xr:uid="{3C8CBCA7-68C5-4021-BB16-725C491E5697}"/>
    <cellStyle name="Normal 14 2" xfId="39" xr:uid="{9ADE9553-2FFF-45C8-BB11-AC34B132A126}"/>
    <cellStyle name="Normal 14 3" xfId="40" xr:uid="{8AC5D864-99BD-43CA-A335-E71449D18007}"/>
    <cellStyle name="Normal 14 3 2" xfId="41" xr:uid="{AA298FA0-AF29-4830-BAC1-D7DA2D48B856}"/>
    <cellStyle name="Normal 15" xfId="42" xr:uid="{628F8D2C-D5E6-46CF-BD6B-AADD0B3942C3}"/>
    <cellStyle name="Normal 16" xfId="43" xr:uid="{0620062A-E554-443F-B211-8AA107631693}"/>
    <cellStyle name="Normal 17" xfId="44" xr:uid="{379A2A48-C836-433F-8D50-D0B2192B654A}"/>
    <cellStyle name="Normal 2" xfId="4" xr:uid="{00000000-0005-0000-0000-000006000000}"/>
    <cellStyle name="Normal 2 2" xfId="13" xr:uid="{00000000-0005-0000-0000-000007000000}"/>
    <cellStyle name="Normal 2 2 2" xfId="47" xr:uid="{7DA15B4A-8FFB-48C1-9154-86F53EC8BB61}"/>
    <cellStyle name="Normal 2 2 3" xfId="46" xr:uid="{02D358CE-ED8D-4FA3-A321-3F54E24FC3F1}"/>
    <cellStyle name="Normal 2 3" xfId="48" xr:uid="{527692FA-D7BA-4E1E-9646-4C92242D20B4}"/>
    <cellStyle name="Normal 2 4" xfId="45" xr:uid="{64923F9E-B5AC-49A0-AFCE-90BCF0571856}"/>
    <cellStyle name="Normal 25" xfId="49" xr:uid="{E95A0C6B-9EF7-4973-B542-21E4FD418F5B}"/>
    <cellStyle name="Normal 3" xfId="7" xr:uid="{00000000-0005-0000-0000-000008000000}"/>
    <cellStyle name="Normal 3 2" xfId="50" xr:uid="{3C63BB0E-5A99-4B1F-AD8A-FE67F78D0B18}"/>
    <cellStyle name="Normal 4" xfId="10" xr:uid="{00000000-0005-0000-0000-000009000000}"/>
    <cellStyle name="Normal 4 2" xfId="14" xr:uid="{00000000-0005-0000-0000-00000A000000}"/>
    <cellStyle name="Normal 4 3" xfId="51" xr:uid="{4430995F-1D7B-43BD-87D5-D9CCF6E158F0}"/>
    <cellStyle name="Normal 5" xfId="1" xr:uid="{00000000-0005-0000-0000-00000B000000}"/>
    <cellStyle name="Normal 6" xfId="21" xr:uid="{5E219075-D027-4187-A48B-4DDEB395C8CB}"/>
    <cellStyle name="Normal 6 2" xfId="52" xr:uid="{DD5E5335-9A45-4478-A7B4-191742731005}"/>
    <cellStyle name="Normal 7" xfId="24" xr:uid="{32B2A7EB-653A-49B5-9856-A05D639403D0}"/>
    <cellStyle name="Normal 7 2" xfId="53" xr:uid="{65A9C125-6312-4AB7-BC5F-D9F970551FB3}"/>
    <cellStyle name="Normal 8" xfId="31" xr:uid="{5627B889-23AE-4E93-AAD8-28DCE12B0668}"/>
    <cellStyle name="Normal 8 2" xfId="54" xr:uid="{682118AE-6D06-4692-A4BC-C21D128AC66C}"/>
    <cellStyle name="Normal 9" xfId="55" xr:uid="{02C1FC97-4541-4EDD-9CFD-BA28EB9CF2A9}"/>
    <cellStyle name="Percent 2" xfId="6" xr:uid="{00000000-0005-0000-0000-00000C000000}"/>
    <cellStyle name="Percent 2 2" xfId="56" xr:uid="{97BEB2FB-1CE7-48A0-9A0E-E6839756449E}"/>
    <cellStyle name="Percent 3" xfId="9" xr:uid="{00000000-0005-0000-0000-00000D000000}"/>
    <cellStyle name="Percent 4" xfId="12" xr:uid="{00000000-0005-0000-0000-00000E000000}"/>
    <cellStyle name="Percent 4 2" xfId="16" xr:uid="{00000000-0005-0000-0000-00000F000000}"/>
    <cellStyle name="Percent 5" xfId="2" xr:uid="{00000000-0005-0000-0000-000010000000}"/>
    <cellStyle name="Percent 6" xfId="26" xr:uid="{6E01ADCA-9717-4FE1-88F6-E1B320FDE4A0}"/>
  </cellStyles>
  <dxfs count="29">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view="pageBreakPreview" zoomScale="52" zoomScaleNormal="59" zoomScaleSheetLayoutView="30" workbookViewId="0">
      <pane ySplit="1250" activePane="bottomLeft"/>
      <selection activeCell="C5" sqref="C5:C6"/>
      <selection pane="bottomLeft" activeCell="E6" sqref="E6:F7"/>
    </sheetView>
  </sheetViews>
  <sheetFormatPr defaultRowHeight="14.5" x14ac:dyDescent="0.35"/>
  <cols>
    <col min="1" max="1" width="6.453125" customWidth="1"/>
    <col min="2" max="2" width="20.54296875" customWidth="1"/>
    <col min="3" max="3" width="44.81640625" customWidth="1"/>
    <col min="4" max="4" width="18.54296875" customWidth="1"/>
    <col min="5" max="5" width="44" customWidth="1"/>
    <col min="6" max="6" width="37" customWidth="1"/>
    <col min="7" max="7" width="61.453125" customWidth="1"/>
    <col min="8" max="8" width="31.1796875" customWidth="1"/>
  </cols>
  <sheetData>
    <row r="1" spans="1:9" ht="15.5" x14ac:dyDescent="0.35">
      <c r="A1" s="372" t="s">
        <v>0</v>
      </c>
      <c r="B1" s="372"/>
      <c r="C1" s="372"/>
      <c r="D1" s="372"/>
      <c r="E1" s="372"/>
      <c r="F1" s="372"/>
      <c r="G1" s="372"/>
      <c r="H1" s="22"/>
      <c r="I1" s="1"/>
    </row>
    <row r="2" spans="1:9" x14ac:dyDescent="0.35">
      <c r="H2" s="1"/>
    </row>
    <row r="3" spans="1:9" ht="15.65" customHeight="1" x14ac:dyDescent="0.35">
      <c r="A3" s="380" t="s">
        <v>429</v>
      </c>
      <c r="B3" s="380"/>
      <c r="C3" s="380"/>
      <c r="D3" s="380"/>
      <c r="E3" s="380"/>
      <c r="F3" s="380"/>
      <c r="G3" s="380"/>
      <c r="H3" s="380"/>
      <c r="I3" s="380"/>
    </row>
    <row r="4" spans="1:9" ht="15.5" x14ac:dyDescent="0.35">
      <c r="A4" s="373"/>
      <c r="B4" s="373"/>
      <c r="C4" s="373"/>
      <c r="D4" s="373"/>
      <c r="E4" s="373"/>
      <c r="F4" s="373"/>
      <c r="G4" s="373"/>
      <c r="H4" s="1"/>
      <c r="I4" s="1"/>
    </row>
    <row r="5" spans="1:9" ht="15" x14ac:dyDescent="0.35">
      <c r="A5" s="374" t="s">
        <v>1</v>
      </c>
      <c r="B5" s="375" t="s">
        <v>2</v>
      </c>
      <c r="C5" s="374" t="s">
        <v>3</v>
      </c>
      <c r="D5" s="377" t="s">
        <v>4</v>
      </c>
      <c r="E5" s="378"/>
      <c r="F5" s="378"/>
      <c r="G5" s="379"/>
      <c r="H5" s="21" t="s">
        <v>184</v>
      </c>
      <c r="I5" s="1"/>
    </row>
    <row r="6" spans="1:9" ht="15" x14ac:dyDescent="0.35">
      <c r="A6" s="374"/>
      <c r="B6" s="376"/>
      <c r="C6" s="374"/>
      <c r="D6" s="12" t="s">
        <v>5</v>
      </c>
      <c r="E6" s="12" t="s">
        <v>6</v>
      </c>
      <c r="F6" s="12" t="s">
        <v>7</v>
      </c>
      <c r="G6" s="12" t="s">
        <v>8</v>
      </c>
      <c r="H6" s="21"/>
      <c r="I6" s="1"/>
    </row>
    <row r="7" spans="1:9" ht="15" x14ac:dyDescent="0.35">
      <c r="A7" s="7" t="s">
        <v>9</v>
      </c>
      <c r="B7" s="7" t="s">
        <v>10</v>
      </c>
      <c r="C7" s="7" t="s">
        <v>11</v>
      </c>
      <c r="D7" s="7" t="s">
        <v>12</v>
      </c>
      <c r="E7" s="7" t="s">
        <v>13</v>
      </c>
      <c r="F7" s="7" t="s">
        <v>14</v>
      </c>
      <c r="G7" s="7" t="s">
        <v>15</v>
      </c>
      <c r="H7" s="7" t="s">
        <v>185</v>
      </c>
      <c r="I7" s="8"/>
    </row>
    <row r="8" spans="1:9" ht="15" x14ac:dyDescent="0.35">
      <c r="A8" s="9" t="s">
        <v>16</v>
      </c>
      <c r="B8" s="10"/>
      <c r="C8" s="13"/>
      <c r="D8" s="11"/>
      <c r="E8" s="11"/>
      <c r="F8" s="11"/>
      <c r="G8" s="11"/>
      <c r="H8" s="20"/>
      <c r="I8" s="1"/>
    </row>
    <row r="9" spans="1:9" ht="114.65" customHeight="1" x14ac:dyDescent="0.35">
      <c r="A9" s="16">
        <v>1</v>
      </c>
      <c r="B9" s="14" t="s">
        <v>17</v>
      </c>
      <c r="C9" s="14" t="s">
        <v>18</v>
      </c>
      <c r="D9" s="15" t="s">
        <v>19</v>
      </c>
      <c r="E9" s="15" t="s">
        <v>20</v>
      </c>
      <c r="F9" s="15" t="s">
        <v>21</v>
      </c>
      <c r="G9" s="15" t="s">
        <v>22</v>
      </c>
      <c r="H9" s="19">
        <v>10</v>
      </c>
      <c r="I9" s="1"/>
    </row>
    <row r="10" spans="1:9" ht="122.5" customHeight="1" x14ac:dyDescent="0.35">
      <c r="A10" s="16">
        <v>2</v>
      </c>
      <c r="B10" s="14" t="s">
        <v>23</v>
      </c>
      <c r="C10" s="14" t="s">
        <v>24</v>
      </c>
      <c r="D10" s="15" t="s">
        <v>25</v>
      </c>
      <c r="E10" s="15" t="s">
        <v>26</v>
      </c>
      <c r="F10" s="15" t="s">
        <v>27</v>
      </c>
      <c r="G10" s="15" t="s">
        <v>28</v>
      </c>
      <c r="H10" s="19">
        <v>10</v>
      </c>
      <c r="I10" s="1"/>
    </row>
    <row r="11" spans="1:9" ht="110.5" customHeight="1" x14ac:dyDescent="0.35">
      <c r="A11" s="16">
        <v>3</v>
      </c>
      <c r="B11" s="14" t="s">
        <v>29</v>
      </c>
      <c r="C11" s="14" t="s">
        <v>30</v>
      </c>
      <c r="D11" s="15" t="s">
        <v>31</v>
      </c>
      <c r="E11" s="15" t="s">
        <v>32</v>
      </c>
      <c r="F11" s="15" t="s">
        <v>33</v>
      </c>
      <c r="G11" s="15" t="s">
        <v>34</v>
      </c>
      <c r="H11" s="19">
        <v>10</v>
      </c>
      <c r="I11" s="1"/>
    </row>
    <row r="12" spans="1:9" ht="174" customHeight="1" x14ac:dyDescent="0.35">
      <c r="A12" s="16">
        <v>4</v>
      </c>
      <c r="B12" s="14" t="s">
        <v>35</v>
      </c>
      <c r="C12" s="14" t="s">
        <v>36</v>
      </c>
      <c r="D12" s="15" t="s">
        <v>37</v>
      </c>
      <c r="E12" s="15" t="s">
        <v>38</v>
      </c>
      <c r="F12" s="15" t="s">
        <v>39</v>
      </c>
      <c r="G12" s="15" t="s">
        <v>40</v>
      </c>
      <c r="H12" s="19">
        <v>10</v>
      </c>
      <c r="I12" s="1"/>
    </row>
    <row r="13" spans="1:9" ht="99.65" customHeight="1" x14ac:dyDescent="0.35">
      <c r="A13" s="16">
        <v>5</v>
      </c>
      <c r="B13" s="14" t="s">
        <v>41</v>
      </c>
      <c r="C13" s="14" t="s">
        <v>42</v>
      </c>
      <c r="D13" s="15" t="s">
        <v>37</v>
      </c>
      <c r="E13" s="15" t="s">
        <v>38</v>
      </c>
      <c r="F13" s="15" t="s">
        <v>43</v>
      </c>
      <c r="G13" s="15" t="s">
        <v>44</v>
      </c>
      <c r="H13" s="19">
        <v>10</v>
      </c>
      <c r="I13" s="1"/>
    </row>
    <row r="14" spans="1:9" ht="157" customHeight="1" x14ac:dyDescent="0.35">
      <c r="A14" s="16">
        <v>6</v>
      </c>
      <c r="B14" s="14" t="s">
        <v>45</v>
      </c>
      <c r="C14" s="14" t="s">
        <v>46</v>
      </c>
      <c r="D14" s="15" t="s">
        <v>47</v>
      </c>
      <c r="E14" s="15" t="s">
        <v>48</v>
      </c>
      <c r="F14" s="15" t="s">
        <v>49</v>
      </c>
      <c r="G14" s="15" t="s">
        <v>50</v>
      </c>
      <c r="H14" s="19">
        <v>10</v>
      </c>
      <c r="I14" s="1"/>
    </row>
    <row r="15" spans="1:9" ht="148.4" customHeight="1" x14ac:dyDescent="0.35">
      <c r="A15" s="16">
        <v>7</v>
      </c>
      <c r="B15" s="14" t="s">
        <v>51</v>
      </c>
      <c r="C15" s="3" t="s">
        <v>52</v>
      </c>
      <c r="D15" s="15" t="s">
        <v>53</v>
      </c>
      <c r="E15" s="15" t="s">
        <v>54</v>
      </c>
      <c r="F15" s="15" t="s">
        <v>55</v>
      </c>
      <c r="G15" s="15" t="s">
        <v>56</v>
      </c>
      <c r="H15" s="19">
        <v>10</v>
      </c>
      <c r="I15" s="1"/>
    </row>
    <row r="16" spans="1:9" ht="116.5" customHeight="1" x14ac:dyDescent="0.35">
      <c r="A16" s="16">
        <v>8</v>
      </c>
      <c r="B16" s="3" t="s">
        <v>57</v>
      </c>
      <c r="C16" s="3" t="s">
        <v>58</v>
      </c>
      <c r="D16" s="4" t="s">
        <v>59</v>
      </c>
      <c r="E16" s="4" t="s">
        <v>60</v>
      </c>
      <c r="F16" s="4" t="s">
        <v>61</v>
      </c>
      <c r="G16" s="4" t="s">
        <v>62</v>
      </c>
      <c r="H16" s="19">
        <v>10</v>
      </c>
      <c r="I16" s="1"/>
    </row>
    <row r="17" spans="1:8" ht="141" customHeight="1" x14ac:dyDescent="0.35">
      <c r="A17" s="16">
        <v>9</v>
      </c>
      <c r="B17" s="14" t="s">
        <v>63</v>
      </c>
      <c r="C17" s="14" t="s">
        <v>64</v>
      </c>
      <c r="D17" s="15" t="s">
        <v>65</v>
      </c>
      <c r="E17" s="15" t="s">
        <v>66</v>
      </c>
      <c r="F17" s="15" t="s">
        <v>67</v>
      </c>
      <c r="G17" s="15" t="s">
        <v>68</v>
      </c>
      <c r="H17" s="19">
        <v>10</v>
      </c>
    </row>
    <row r="18" spans="1:8" ht="123.65" customHeight="1" x14ac:dyDescent="0.35">
      <c r="A18" s="16">
        <v>10</v>
      </c>
      <c r="B18" s="14" t="s">
        <v>69</v>
      </c>
      <c r="C18" s="14" t="s">
        <v>70</v>
      </c>
      <c r="D18" s="15" t="s">
        <v>71</v>
      </c>
      <c r="E18" s="15" t="s">
        <v>72</v>
      </c>
      <c r="F18" s="15" t="s">
        <v>73</v>
      </c>
      <c r="G18" s="15" t="s">
        <v>74</v>
      </c>
      <c r="H18" s="19">
        <v>10</v>
      </c>
    </row>
    <row r="19" spans="1:8" ht="123" customHeight="1" x14ac:dyDescent="0.35">
      <c r="A19" s="16">
        <v>11</v>
      </c>
      <c r="B19" s="14" t="s">
        <v>75</v>
      </c>
      <c r="C19" s="14" t="s">
        <v>76</v>
      </c>
      <c r="D19" s="15" t="s">
        <v>77</v>
      </c>
      <c r="E19" s="15" t="s">
        <v>78</v>
      </c>
      <c r="F19" s="15" t="s">
        <v>79</v>
      </c>
      <c r="G19" s="15" t="s">
        <v>80</v>
      </c>
      <c r="H19" s="19">
        <v>10</v>
      </c>
    </row>
    <row r="20" spans="1:8" ht="130.4" customHeight="1" x14ac:dyDescent="0.35">
      <c r="A20" s="16">
        <v>12</v>
      </c>
      <c r="B20" s="14" t="s">
        <v>81</v>
      </c>
      <c r="C20" s="14" t="s">
        <v>82</v>
      </c>
      <c r="D20" s="15" t="s">
        <v>83</v>
      </c>
      <c r="E20" s="15" t="s">
        <v>84</v>
      </c>
      <c r="F20" s="15" t="s">
        <v>85</v>
      </c>
      <c r="G20" s="15" t="s">
        <v>86</v>
      </c>
      <c r="H20" s="19">
        <v>10</v>
      </c>
    </row>
    <row r="21" spans="1:8" ht="80.5" customHeight="1" x14ac:dyDescent="0.35">
      <c r="A21" s="16">
        <v>13</v>
      </c>
      <c r="B21" s="15" t="s">
        <v>87</v>
      </c>
      <c r="C21" s="15" t="s">
        <v>88</v>
      </c>
      <c r="D21" s="15" t="s">
        <v>89</v>
      </c>
      <c r="E21" s="15" t="s">
        <v>90</v>
      </c>
      <c r="F21" s="15" t="s">
        <v>91</v>
      </c>
      <c r="G21" s="15" t="s">
        <v>92</v>
      </c>
      <c r="H21" s="19">
        <v>10</v>
      </c>
    </row>
    <row r="22" spans="1:8" ht="85.75" customHeight="1" x14ac:dyDescent="0.35">
      <c r="A22" s="16">
        <v>14</v>
      </c>
      <c r="B22" s="14" t="s">
        <v>93</v>
      </c>
      <c r="C22" s="14" t="s">
        <v>94</v>
      </c>
      <c r="D22" s="15" t="s">
        <v>95</v>
      </c>
      <c r="E22" s="15" t="s">
        <v>96</v>
      </c>
      <c r="F22" s="15" t="s">
        <v>97</v>
      </c>
      <c r="G22" s="15" t="s">
        <v>98</v>
      </c>
      <c r="H22" s="19">
        <v>10</v>
      </c>
    </row>
    <row r="23" spans="1:8" ht="166.4" customHeight="1" x14ac:dyDescent="0.35">
      <c r="A23" s="17">
        <v>15</v>
      </c>
      <c r="B23" s="14" t="s">
        <v>99</v>
      </c>
      <c r="C23" s="3" t="s">
        <v>100</v>
      </c>
      <c r="D23" s="15" t="s">
        <v>101</v>
      </c>
      <c r="E23" s="15" t="s">
        <v>102</v>
      </c>
      <c r="F23" s="15" t="s">
        <v>103</v>
      </c>
      <c r="G23" s="15" t="s">
        <v>104</v>
      </c>
      <c r="H23" s="19">
        <v>10</v>
      </c>
    </row>
    <row r="24" spans="1:8" ht="102.65" customHeight="1" x14ac:dyDescent="0.35">
      <c r="A24" s="16">
        <v>16</v>
      </c>
      <c r="B24" s="14" t="s">
        <v>105</v>
      </c>
      <c r="C24" s="5" t="s">
        <v>106</v>
      </c>
      <c r="D24" s="15" t="s">
        <v>107</v>
      </c>
      <c r="E24" s="15" t="s">
        <v>108</v>
      </c>
      <c r="F24" s="15" t="s">
        <v>109</v>
      </c>
      <c r="G24" s="6" t="s">
        <v>110</v>
      </c>
      <c r="H24" s="19">
        <v>10</v>
      </c>
    </row>
    <row r="25" spans="1:8" ht="27" customHeight="1" x14ac:dyDescent="0.35">
      <c r="B25" s="31" t="s">
        <v>192</v>
      </c>
      <c r="C25" s="32"/>
      <c r="D25" s="33"/>
      <c r="E25" s="15"/>
      <c r="F25" s="15"/>
      <c r="G25" s="6"/>
      <c r="H25" s="19">
        <f>AVERAGE(H9:H24)</f>
        <v>10</v>
      </c>
    </row>
    <row r="26" spans="1:8" ht="20.149999999999999" customHeight="1" x14ac:dyDescent="0.35">
      <c r="A26" s="367" t="s">
        <v>111</v>
      </c>
      <c r="B26" s="368"/>
      <c r="C26" s="369"/>
      <c r="D26" s="15"/>
      <c r="E26" s="15"/>
      <c r="F26" s="15"/>
      <c r="G26" s="15"/>
      <c r="H26" s="19"/>
    </row>
    <row r="27" spans="1:8" ht="163.4" customHeight="1" x14ac:dyDescent="0.35">
      <c r="A27" s="16">
        <v>1</v>
      </c>
      <c r="B27" s="15" t="s">
        <v>112</v>
      </c>
      <c r="C27" s="15" t="s">
        <v>113</v>
      </c>
      <c r="D27" s="15" t="s">
        <v>114</v>
      </c>
      <c r="E27" s="15" t="s">
        <v>115</v>
      </c>
      <c r="F27" s="15" t="s">
        <v>116</v>
      </c>
      <c r="G27" s="15" t="s">
        <v>117</v>
      </c>
      <c r="H27" s="19">
        <v>10</v>
      </c>
    </row>
    <row r="28" spans="1:8" ht="99.65" customHeight="1" x14ac:dyDescent="0.35">
      <c r="A28" s="16">
        <v>2</v>
      </c>
      <c r="B28" s="14" t="s">
        <v>118</v>
      </c>
      <c r="C28" s="14" t="s">
        <v>119</v>
      </c>
      <c r="D28" s="15" t="s">
        <v>120</v>
      </c>
      <c r="E28" s="15" t="s">
        <v>121</v>
      </c>
      <c r="F28" s="15" t="s">
        <v>122</v>
      </c>
      <c r="G28" s="15" t="s">
        <v>123</v>
      </c>
      <c r="H28" s="19">
        <v>10</v>
      </c>
    </row>
    <row r="29" spans="1:8" ht="100.75" customHeight="1" x14ac:dyDescent="0.35">
      <c r="A29" s="16">
        <v>3</v>
      </c>
      <c r="B29" s="14" t="s">
        <v>124</v>
      </c>
      <c r="C29" s="14" t="s">
        <v>125</v>
      </c>
      <c r="D29" s="15" t="s">
        <v>126</v>
      </c>
      <c r="E29" s="15" t="s">
        <v>127</v>
      </c>
      <c r="F29" s="15" t="s">
        <v>128</v>
      </c>
      <c r="G29" s="15" t="s">
        <v>129</v>
      </c>
      <c r="H29" s="2">
        <v>10</v>
      </c>
    </row>
    <row r="30" spans="1:8" ht="90.65" customHeight="1" x14ac:dyDescent="0.35">
      <c r="A30" s="16">
        <v>4</v>
      </c>
      <c r="B30" s="14" t="s">
        <v>130</v>
      </c>
      <c r="C30" s="14" t="s">
        <v>131</v>
      </c>
      <c r="D30" s="15" t="s">
        <v>132</v>
      </c>
      <c r="E30" s="15" t="s">
        <v>133</v>
      </c>
      <c r="F30" s="15" t="s">
        <v>134</v>
      </c>
      <c r="G30" s="15" t="s">
        <v>135</v>
      </c>
      <c r="H30" s="19">
        <v>10</v>
      </c>
    </row>
    <row r="31" spans="1:8" ht="105" customHeight="1" x14ac:dyDescent="0.35">
      <c r="A31" s="16">
        <v>5</v>
      </c>
      <c r="B31" s="14" t="s">
        <v>136</v>
      </c>
      <c r="C31" s="14" t="s">
        <v>137</v>
      </c>
      <c r="D31" s="15" t="s">
        <v>138</v>
      </c>
      <c r="E31" s="15" t="s">
        <v>127</v>
      </c>
      <c r="F31" s="15" t="s">
        <v>128</v>
      </c>
      <c r="G31" s="15" t="s">
        <v>129</v>
      </c>
      <c r="H31" s="19">
        <v>10</v>
      </c>
    </row>
    <row r="32" spans="1:8" ht="20.149999999999999" customHeight="1" x14ac:dyDescent="0.35">
      <c r="B32" s="31" t="s">
        <v>191</v>
      </c>
      <c r="C32" s="32"/>
      <c r="D32" s="33"/>
      <c r="E32" s="15"/>
      <c r="F32" s="15"/>
      <c r="G32" s="15"/>
      <c r="H32" s="19">
        <f>AVERAGE(H27:H31)</f>
        <v>10</v>
      </c>
    </row>
    <row r="33" spans="1:9" ht="15" x14ac:dyDescent="0.35">
      <c r="A33" s="367" t="s">
        <v>139</v>
      </c>
      <c r="B33" s="368"/>
      <c r="C33" s="369"/>
      <c r="D33" s="15"/>
      <c r="E33" s="15"/>
      <c r="F33" s="15"/>
      <c r="G33" s="15"/>
      <c r="H33" s="19"/>
    </row>
    <row r="34" spans="1:9" ht="81" customHeight="1" x14ac:dyDescent="0.35">
      <c r="A34" s="18">
        <v>1</v>
      </c>
      <c r="B34" s="14" t="s">
        <v>140</v>
      </c>
      <c r="C34" s="14" t="s">
        <v>141</v>
      </c>
      <c r="D34" s="15" t="s">
        <v>89</v>
      </c>
      <c r="E34" s="15" t="s">
        <v>142</v>
      </c>
      <c r="F34" s="15" t="s">
        <v>143</v>
      </c>
      <c r="G34" s="15" t="s">
        <v>144</v>
      </c>
      <c r="H34" s="19">
        <v>10</v>
      </c>
    </row>
    <row r="35" spans="1:9" ht="93.65" customHeight="1" x14ac:dyDescent="0.35">
      <c r="A35" s="16">
        <v>2</v>
      </c>
      <c r="B35" s="14" t="s">
        <v>145</v>
      </c>
      <c r="C35" s="14" t="s">
        <v>146</v>
      </c>
      <c r="D35" s="15" t="s">
        <v>89</v>
      </c>
      <c r="E35" s="15" t="s">
        <v>147</v>
      </c>
      <c r="F35" s="15" t="s">
        <v>148</v>
      </c>
      <c r="G35" s="15" t="s">
        <v>149</v>
      </c>
      <c r="H35" s="19">
        <v>10</v>
      </c>
    </row>
    <row r="36" spans="1:9" ht="24" customHeight="1" x14ac:dyDescent="0.35">
      <c r="B36" s="31" t="s">
        <v>190</v>
      </c>
      <c r="C36" s="32"/>
      <c r="D36" s="33"/>
      <c r="E36" s="15"/>
      <c r="F36" s="15"/>
      <c r="G36" s="15"/>
      <c r="H36" s="19">
        <f>AVERAGE(H34:H35)</f>
        <v>10</v>
      </c>
    </row>
    <row r="37" spans="1:9" ht="15" x14ac:dyDescent="0.35">
      <c r="A37" s="367" t="s">
        <v>150</v>
      </c>
      <c r="B37" s="368"/>
      <c r="C37" s="369"/>
      <c r="D37" s="15"/>
      <c r="E37" s="15"/>
      <c r="F37" s="15"/>
      <c r="G37" s="15"/>
      <c r="H37" s="19"/>
    </row>
    <row r="38" spans="1:9" ht="89.5" customHeight="1" x14ac:dyDescent="0.35">
      <c r="A38" s="16">
        <v>1</v>
      </c>
      <c r="B38" s="15" t="s">
        <v>151</v>
      </c>
      <c r="C38" s="15" t="s">
        <v>152</v>
      </c>
      <c r="D38" s="15" t="s">
        <v>153</v>
      </c>
      <c r="E38" s="15" t="s">
        <v>154</v>
      </c>
      <c r="F38" s="15" t="s">
        <v>155</v>
      </c>
      <c r="G38" s="15" t="s">
        <v>156</v>
      </c>
      <c r="H38" s="19">
        <v>10</v>
      </c>
    </row>
    <row r="39" spans="1:9" ht="102.65" customHeight="1" x14ac:dyDescent="0.35">
      <c r="A39" s="17">
        <v>2</v>
      </c>
      <c r="B39" s="14" t="s">
        <v>157</v>
      </c>
      <c r="C39" s="14" t="s">
        <v>158</v>
      </c>
      <c r="D39" s="15" t="s">
        <v>159</v>
      </c>
      <c r="E39" s="15" t="s">
        <v>160</v>
      </c>
      <c r="F39" s="15" t="s">
        <v>161</v>
      </c>
      <c r="G39" s="15" t="s">
        <v>162</v>
      </c>
      <c r="H39" s="19">
        <v>10</v>
      </c>
    </row>
    <row r="40" spans="1:9" ht="132" customHeight="1" x14ac:dyDescent="0.35">
      <c r="A40" s="16">
        <v>3</v>
      </c>
      <c r="B40" s="14" t="s">
        <v>163</v>
      </c>
      <c r="C40" s="14" t="s">
        <v>164</v>
      </c>
      <c r="D40" s="15" t="s">
        <v>89</v>
      </c>
      <c r="E40" s="15" t="s">
        <v>165</v>
      </c>
      <c r="F40" s="15" t="s">
        <v>166</v>
      </c>
      <c r="G40" s="15" t="s">
        <v>167</v>
      </c>
      <c r="H40" s="19">
        <v>10</v>
      </c>
    </row>
    <row r="41" spans="1:9" ht="24.65" customHeight="1" x14ac:dyDescent="0.35">
      <c r="B41" s="367" t="s">
        <v>189</v>
      </c>
      <c r="C41" s="368"/>
      <c r="D41" s="368"/>
      <c r="E41" s="23"/>
      <c r="F41" s="23"/>
      <c r="G41" s="23"/>
      <c r="H41" s="19">
        <f>AVERAGE(H38:H40)</f>
        <v>10</v>
      </c>
    </row>
    <row r="42" spans="1:9" ht="15" x14ac:dyDescent="0.35">
      <c r="A42" s="370" t="s">
        <v>168</v>
      </c>
      <c r="B42" s="371"/>
      <c r="C42" s="371"/>
      <c r="D42" s="371"/>
      <c r="E42" s="371"/>
      <c r="F42" s="371"/>
      <c r="G42" s="371"/>
      <c r="H42" s="19"/>
    </row>
    <row r="43" spans="1:9" ht="251.5" customHeight="1" x14ac:dyDescent="0.35">
      <c r="A43" s="2" t="s">
        <v>169</v>
      </c>
      <c r="B43" s="3" t="s">
        <v>170</v>
      </c>
      <c r="C43" s="3" t="s">
        <v>171</v>
      </c>
      <c r="D43" s="4" t="s">
        <v>172</v>
      </c>
      <c r="E43" s="4" t="s">
        <v>173</v>
      </c>
      <c r="F43" s="4" t="s">
        <v>174</v>
      </c>
      <c r="G43" s="4" t="s">
        <v>175</v>
      </c>
      <c r="H43" s="19">
        <v>10</v>
      </c>
    </row>
    <row r="44" spans="1:9" ht="125.5" customHeight="1" x14ac:dyDescent="0.35">
      <c r="A44" s="2" t="s">
        <v>176</v>
      </c>
      <c r="B44" s="3" t="s">
        <v>177</v>
      </c>
      <c r="C44" s="3" t="s">
        <v>178</v>
      </c>
      <c r="D44" s="4" t="s">
        <v>179</v>
      </c>
      <c r="E44" s="4" t="s">
        <v>180</v>
      </c>
      <c r="F44" s="4" t="s">
        <v>181</v>
      </c>
      <c r="G44" s="4" t="s">
        <v>182</v>
      </c>
      <c r="H44" s="19">
        <v>10</v>
      </c>
    </row>
    <row r="45" spans="1:9" ht="69" customHeight="1" x14ac:dyDescent="0.35">
      <c r="A45" s="215" t="s">
        <v>183</v>
      </c>
      <c r="B45" s="216" t="s">
        <v>684</v>
      </c>
      <c r="C45" s="216" t="s">
        <v>685</v>
      </c>
      <c r="D45" s="217" t="s">
        <v>686</v>
      </c>
      <c r="E45" s="217" t="s">
        <v>687</v>
      </c>
      <c r="F45" s="217" t="s">
        <v>688</v>
      </c>
      <c r="G45" s="314" t="s">
        <v>689</v>
      </c>
      <c r="H45" s="19">
        <v>10</v>
      </c>
    </row>
    <row r="46" spans="1:9" ht="65.150000000000006" customHeight="1" x14ac:dyDescent="0.35">
      <c r="A46" s="218" t="s">
        <v>245</v>
      </c>
      <c r="B46" s="219" t="s">
        <v>690</v>
      </c>
      <c r="C46" s="219" t="s">
        <v>691</v>
      </c>
      <c r="D46" s="220" t="s">
        <v>692</v>
      </c>
      <c r="E46" s="221" t="s">
        <v>693</v>
      </c>
      <c r="F46" s="221" t="s">
        <v>694</v>
      </c>
      <c r="G46" s="221" t="s">
        <v>695</v>
      </c>
      <c r="H46" s="19">
        <v>10</v>
      </c>
    </row>
    <row r="47" spans="1:9" ht="25.4" customHeight="1" x14ac:dyDescent="0.35">
      <c r="A47" s="25"/>
      <c r="B47" s="364" t="s">
        <v>186</v>
      </c>
      <c r="C47" s="365"/>
      <c r="D47" s="366"/>
      <c r="E47" s="4"/>
      <c r="F47" s="4"/>
      <c r="G47" s="4"/>
      <c r="H47" s="19">
        <f>AVERAGE(H43:H46)</f>
        <v>10</v>
      </c>
    </row>
    <row r="48" spans="1:9" ht="30" customHeight="1" x14ac:dyDescent="0.35">
      <c r="A48" s="27"/>
      <c r="B48" s="364" t="s">
        <v>187</v>
      </c>
      <c r="C48" s="365"/>
      <c r="D48" s="366"/>
      <c r="E48" s="28"/>
      <c r="F48" s="26"/>
      <c r="G48" s="26"/>
      <c r="H48" s="312">
        <f>H25+H32+H36+H41+H47</f>
        <v>50</v>
      </c>
      <c r="I48" s="313"/>
    </row>
    <row r="49" spans="1:8" ht="36.65" customHeight="1" x14ac:dyDescent="0.35">
      <c r="A49" s="27"/>
      <c r="B49" s="364" t="s">
        <v>188</v>
      </c>
      <c r="C49" s="365"/>
      <c r="D49" s="366"/>
      <c r="E49" s="28"/>
      <c r="F49" s="26"/>
      <c r="G49" s="26"/>
      <c r="H49" s="312">
        <f>H48/5</f>
        <v>10</v>
      </c>
    </row>
    <row r="54" spans="1:8" ht="15" x14ac:dyDescent="0.35">
      <c r="H54" s="312"/>
    </row>
  </sheetData>
  <mergeCells count="15">
    <mergeCell ref="A1:G1"/>
    <mergeCell ref="A4:G4"/>
    <mergeCell ref="A5:A6"/>
    <mergeCell ref="B5:B6"/>
    <mergeCell ref="C5:C6"/>
    <mergeCell ref="D5:G5"/>
    <mergeCell ref="A3:I3"/>
    <mergeCell ref="B47:D47"/>
    <mergeCell ref="B48:D48"/>
    <mergeCell ref="B49:D49"/>
    <mergeCell ref="B41:D41"/>
    <mergeCell ref="A26:C26"/>
    <mergeCell ref="A33:C33"/>
    <mergeCell ref="A37:C37"/>
    <mergeCell ref="A42:G42"/>
  </mergeCells>
  <pageMargins left="0.7" right="0.7" top="0.75" bottom="0.75" header="0.3" footer="0.3"/>
  <pageSetup paperSize="14" scale="56" orientation="landscape"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7"/>
  <sheetViews>
    <sheetView tabSelected="1" view="pageBreakPreview" topLeftCell="C4" zoomScale="40" zoomScaleNormal="46" zoomScaleSheetLayoutView="40" workbookViewId="0">
      <pane ySplit="790" activePane="bottomLeft"/>
      <selection activeCell="N4" sqref="N1:O1048576"/>
      <selection pane="bottomLeft" activeCell="O143" sqref="O143"/>
    </sheetView>
  </sheetViews>
  <sheetFormatPr defaultRowHeight="14.5" x14ac:dyDescent="0.35"/>
  <cols>
    <col min="1" max="1" width="10.453125" style="29" customWidth="1"/>
    <col min="3" max="3" width="34.453125" customWidth="1"/>
    <col min="4" max="4" width="15" customWidth="1"/>
    <col min="5" max="5" width="19.453125" style="29" customWidth="1"/>
    <col min="6" max="6" width="13.54296875" customWidth="1"/>
    <col min="7" max="7" width="15.54296875" customWidth="1"/>
    <col min="8" max="8" width="21.453125" customWidth="1"/>
    <col min="9" max="9" width="14.54296875" customWidth="1"/>
    <col min="10" max="10" width="20.54296875" customWidth="1"/>
    <col min="11" max="11" width="14.453125" customWidth="1"/>
    <col min="12" max="12" width="13.81640625" customWidth="1"/>
    <col min="13" max="13" width="18.54296875" style="495" customWidth="1"/>
    <col min="14" max="14" width="23.54296875" style="506" customWidth="1"/>
    <col min="15" max="15" width="17.54296875" style="506" customWidth="1"/>
    <col min="17" max="17" width="25.453125" customWidth="1"/>
  </cols>
  <sheetData>
    <row r="1" spans="1:17" ht="15" x14ac:dyDescent="0.35">
      <c r="A1" s="422" t="s">
        <v>329</v>
      </c>
      <c r="B1" s="422"/>
      <c r="C1" s="422"/>
      <c r="D1" s="422"/>
      <c r="E1" s="422"/>
      <c r="F1" s="1"/>
    </row>
    <row r="2" spans="1:17" ht="15" x14ac:dyDescent="0.35">
      <c r="A2" s="91"/>
      <c r="B2" s="1"/>
      <c r="C2" s="1"/>
      <c r="D2" s="423"/>
      <c r="E2" s="423"/>
      <c r="F2" s="1"/>
    </row>
    <row r="3" spans="1:17" ht="15.65" customHeight="1" x14ac:dyDescent="0.35">
      <c r="A3" s="428" t="s">
        <v>438</v>
      </c>
      <c r="B3" s="428"/>
      <c r="C3" s="428"/>
      <c r="D3" s="428"/>
      <c r="E3" s="428"/>
      <c r="F3" s="428"/>
      <c r="G3" s="428"/>
      <c r="H3" s="428"/>
      <c r="I3" s="428"/>
      <c r="J3" s="428"/>
      <c r="K3" s="428"/>
      <c r="L3" s="428"/>
      <c r="M3" s="428"/>
      <c r="N3" s="428"/>
      <c r="O3" s="428"/>
      <c r="Q3" s="59"/>
    </row>
    <row r="4" spans="1:17" ht="15.5" x14ac:dyDescent="0.35">
      <c r="A4" s="91"/>
      <c r="B4" s="1"/>
      <c r="C4" s="1"/>
      <c r="D4" s="1"/>
      <c r="E4" s="91"/>
      <c r="F4" s="34"/>
      <c r="Q4" s="1"/>
    </row>
    <row r="5" spans="1:17" ht="24" customHeight="1" x14ac:dyDescent="0.35">
      <c r="A5" s="426" t="s">
        <v>1</v>
      </c>
      <c r="B5" s="427" t="s">
        <v>428</v>
      </c>
      <c r="C5" s="427"/>
      <c r="D5" s="427" t="s">
        <v>655</v>
      </c>
      <c r="E5" s="420" t="s">
        <v>194</v>
      </c>
      <c r="F5" s="420" t="s">
        <v>195</v>
      </c>
      <c r="G5" s="420" t="s">
        <v>196</v>
      </c>
      <c r="H5" s="420" t="s">
        <v>197</v>
      </c>
      <c r="I5" s="420" t="s">
        <v>198</v>
      </c>
      <c r="J5" s="420" t="s">
        <v>199</v>
      </c>
      <c r="K5" s="420"/>
      <c r="L5" s="420"/>
      <c r="M5" s="420" t="s">
        <v>200</v>
      </c>
      <c r="N5" s="420" t="s">
        <v>201</v>
      </c>
      <c r="O5" s="418" t="s">
        <v>202</v>
      </c>
      <c r="Q5" s="416" t="s">
        <v>330</v>
      </c>
    </row>
    <row r="6" spans="1:17" ht="15" x14ac:dyDescent="0.35">
      <c r="A6" s="426"/>
      <c r="B6" s="427"/>
      <c r="C6" s="427"/>
      <c r="D6" s="427"/>
      <c r="E6" s="420"/>
      <c r="F6" s="420"/>
      <c r="G6" s="420"/>
      <c r="H6" s="420"/>
      <c r="I6" s="420"/>
      <c r="J6" s="67" t="s">
        <v>203</v>
      </c>
      <c r="K6" s="67" t="s">
        <v>204</v>
      </c>
      <c r="L6" s="67" t="s">
        <v>205</v>
      </c>
      <c r="M6" s="420"/>
      <c r="N6" s="420"/>
      <c r="O6" s="419"/>
      <c r="Q6" s="417"/>
    </row>
    <row r="7" spans="1:17" ht="15" x14ac:dyDescent="0.35">
      <c r="A7" s="35" t="s">
        <v>9</v>
      </c>
      <c r="B7" s="421" t="s">
        <v>10</v>
      </c>
      <c r="C7" s="421"/>
      <c r="D7" s="35" t="s">
        <v>11</v>
      </c>
      <c r="E7" s="35" t="s">
        <v>12</v>
      </c>
      <c r="F7" s="35" t="s">
        <v>13</v>
      </c>
      <c r="G7" s="35" t="s">
        <v>14</v>
      </c>
      <c r="H7" s="35" t="s">
        <v>15</v>
      </c>
      <c r="I7" s="35" t="s">
        <v>185</v>
      </c>
      <c r="J7" s="35" t="s">
        <v>206</v>
      </c>
      <c r="K7" s="35" t="s">
        <v>207</v>
      </c>
      <c r="L7" s="35" t="s">
        <v>208</v>
      </c>
      <c r="M7" s="35" t="s">
        <v>209</v>
      </c>
      <c r="N7" s="35" t="s">
        <v>210</v>
      </c>
      <c r="O7" s="58" t="s">
        <v>211</v>
      </c>
      <c r="Q7" s="35" t="s">
        <v>11</v>
      </c>
    </row>
    <row r="8" spans="1:17" ht="15" x14ac:dyDescent="0.35">
      <c r="A8" s="281" t="s">
        <v>526</v>
      </c>
      <c r="B8" s="86"/>
      <c r="C8" s="62"/>
      <c r="D8" s="41"/>
      <c r="E8" s="30"/>
      <c r="F8" s="24"/>
      <c r="G8" s="24"/>
      <c r="H8" s="24"/>
      <c r="I8" s="24"/>
      <c r="J8" s="24"/>
      <c r="K8" s="24"/>
      <c r="L8" s="274">
        <f>AVERAGE(L185,L34,L9,L54,L86,L102,L185)</f>
        <v>94.834569395935702</v>
      </c>
      <c r="M8" s="494"/>
      <c r="N8" s="494"/>
      <c r="O8" s="494"/>
      <c r="Q8" s="41"/>
    </row>
    <row r="9" spans="1:17" ht="15.5" x14ac:dyDescent="0.35">
      <c r="A9" s="281" t="s">
        <v>822</v>
      </c>
      <c r="B9" s="86"/>
      <c r="C9" s="62"/>
      <c r="D9" s="41"/>
      <c r="E9" s="37"/>
      <c r="F9" s="87"/>
      <c r="G9" s="24"/>
      <c r="H9" s="24"/>
      <c r="I9" s="24"/>
      <c r="J9" s="24"/>
      <c r="K9" s="24"/>
      <c r="L9" s="166">
        <f>AVERAGE(K10,K14,K18,K22,K27,K31)</f>
        <v>95.404977483097468</v>
      </c>
      <c r="M9" s="494"/>
      <c r="N9" s="494"/>
      <c r="O9" s="494"/>
      <c r="Q9" s="42"/>
    </row>
    <row r="10" spans="1:17" ht="17.5" x14ac:dyDescent="0.35">
      <c r="A10" s="281" t="s">
        <v>212</v>
      </c>
      <c r="B10" s="62"/>
      <c r="C10" s="62"/>
      <c r="D10" s="41"/>
      <c r="E10" s="50"/>
      <c r="F10" s="135"/>
      <c r="G10" s="135"/>
      <c r="H10" s="135"/>
      <c r="I10" s="136"/>
      <c r="J10" s="137"/>
      <c r="K10" s="275">
        <f>AVERAGE(J11:J13)</f>
        <v>97.42986489858481</v>
      </c>
      <c r="L10" s="24"/>
      <c r="M10" s="494"/>
      <c r="N10" s="494"/>
      <c r="O10" s="494"/>
      <c r="Q10" s="41"/>
    </row>
    <row r="11" spans="1:17" ht="58" customHeight="1" x14ac:dyDescent="0.35">
      <c r="A11" s="2" t="s">
        <v>169</v>
      </c>
      <c r="B11" s="414" t="s">
        <v>213</v>
      </c>
      <c r="C11" s="414"/>
      <c r="D11" s="49">
        <v>0.2</v>
      </c>
      <c r="E11" s="65" t="s">
        <v>214</v>
      </c>
      <c r="F11" s="182">
        <v>9351</v>
      </c>
      <c r="G11" s="140">
        <f>D11*F11</f>
        <v>1870.2</v>
      </c>
      <c r="H11" s="140">
        <v>1726</v>
      </c>
      <c r="I11" s="150">
        <f>H11/F11*100</f>
        <v>18.457918939150893</v>
      </c>
      <c r="J11" s="150">
        <f>IF(H11/G11*100&gt;=100,100,IF(H11/G11*100&lt;100,H11/G11*100))</f>
        <v>92.28959469575446</v>
      </c>
      <c r="K11" s="223"/>
      <c r="L11" s="224"/>
      <c r="M11" s="493"/>
      <c r="N11" s="507" t="s">
        <v>921</v>
      </c>
      <c r="O11" s="496" t="s">
        <v>920</v>
      </c>
      <c r="Q11" s="225" t="s">
        <v>331</v>
      </c>
    </row>
    <row r="12" spans="1:17" ht="57.65" customHeight="1" x14ac:dyDescent="0.35">
      <c r="A12" s="2" t="s">
        <v>215</v>
      </c>
      <c r="B12" s="414" t="s">
        <v>216</v>
      </c>
      <c r="C12" s="414"/>
      <c r="D12" s="49">
        <v>0.5</v>
      </c>
      <c r="E12" s="65" t="s">
        <v>708</v>
      </c>
      <c r="F12" s="182">
        <v>34</v>
      </c>
      <c r="G12" s="140">
        <f t="shared" ref="G12:G13" si="0">D12*F12</f>
        <v>17</v>
      </c>
      <c r="H12" s="140">
        <v>19</v>
      </c>
      <c r="I12" s="150">
        <f t="shared" ref="I12:I13" si="1">H12/F12*100</f>
        <v>55.882352941176471</v>
      </c>
      <c r="J12" s="150">
        <f t="shared" ref="J12:J13" si="2">IF(H12/G12*100&gt;=100,100,IF(H12/G12*100&lt;100,H12/G12*100))</f>
        <v>100</v>
      </c>
      <c r="K12" s="226"/>
      <c r="L12" s="224"/>
      <c r="M12" s="493"/>
      <c r="N12" s="493"/>
      <c r="O12" s="493"/>
      <c r="Q12" s="225" t="s">
        <v>332</v>
      </c>
    </row>
    <row r="13" spans="1:17" ht="41.5" customHeight="1" x14ac:dyDescent="0.35">
      <c r="A13" s="2" t="s">
        <v>217</v>
      </c>
      <c r="B13" s="414" t="s">
        <v>218</v>
      </c>
      <c r="C13" s="414"/>
      <c r="D13" s="49">
        <v>0.7</v>
      </c>
      <c r="E13" s="65" t="s">
        <v>219</v>
      </c>
      <c r="F13" s="182">
        <v>3</v>
      </c>
      <c r="G13" s="140">
        <f t="shared" si="0"/>
        <v>2.0999999999999996</v>
      </c>
      <c r="H13" s="140">
        <v>3</v>
      </c>
      <c r="I13" s="150">
        <f t="shared" si="1"/>
        <v>100</v>
      </c>
      <c r="J13" s="150">
        <f t="shared" si="2"/>
        <v>100</v>
      </c>
      <c r="K13" s="226"/>
      <c r="L13" s="224"/>
      <c r="M13" s="493"/>
      <c r="N13" s="493"/>
      <c r="O13" s="493"/>
      <c r="Q13" s="225" t="s">
        <v>333</v>
      </c>
    </row>
    <row r="14" spans="1:17" ht="17.5" x14ac:dyDescent="0.35">
      <c r="A14" s="424" t="s">
        <v>334</v>
      </c>
      <c r="B14" s="424"/>
      <c r="C14" s="424"/>
      <c r="D14" s="2"/>
      <c r="E14" s="50"/>
      <c r="F14" s="135"/>
      <c r="G14" s="135"/>
      <c r="H14" s="135"/>
      <c r="I14" s="136"/>
      <c r="J14" s="137"/>
      <c r="K14" s="275">
        <f>AVERAGE(J15:J17)</f>
        <v>100</v>
      </c>
      <c r="L14" s="24"/>
      <c r="M14" s="494"/>
      <c r="N14" s="494"/>
      <c r="O14" s="494"/>
      <c r="Q14" s="60"/>
    </row>
    <row r="15" spans="1:17" ht="51" customHeight="1" x14ac:dyDescent="0.35">
      <c r="A15" s="2" t="s">
        <v>169</v>
      </c>
      <c r="B15" s="414" t="s">
        <v>220</v>
      </c>
      <c r="C15" s="414"/>
      <c r="D15" s="228">
        <v>0.56000000000000005</v>
      </c>
      <c r="E15" s="229" t="s">
        <v>214</v>
      </c>
      <c r="F15" s="182">
        <v>1726</v>
      </c>
      <c r="G15" s="182">
        <f>D15*F15</f>
        <v>966.56000000000006</v>
      </c>
      <c r="H15" s="140">
        <v>1494</v>
      </c>
      <c r="I15" s="150">
        <f>H15/F15*100</f>
        <v>86.558516801853997</v>
      </c>
      <c r="J15" s="150">
        <f t="shared" ref="J15:J17" si="3">IF(H15/G15*100&gt;=100,100,IF(H15/G15*100&lt;100,H15/G15*100))</f>
        <v>100</v>
      </c>
      <c r="K15" s="223"/>
      <c r="L15" s="224"/>
      <c r="M15" s="493"/>
      <c r="N15" s="493"/>
      <c r="O15" s="493"/>
      <c r="Q15" s="225" t="s">
        <v>335</v>
      </c>
    </row>
    <row r="16" spans="1:17" ht="54" customHeight="1" x14ac:dyDescent="0.35">
      <c r="A16" s="2" t="s">
        <v>215</v>
      </c>
      <c r="B16" s="415" t="s">
        <v>709</v>
      </c>
      <c r="C16" s="415"/>
      <c r="D16" s="228">
        <v>0.75</v>
      </c>
      <c r="E16" s="229" t="s">
        <v>708</v>
      </c>
      <c r="F16" s="182">
        <v>19</v>
      </c>
      <c r="G16" s="140">
        <f>D16*F16</f>
        <v>14.25</v>
      </c>
      <c r="H16" s="140">
        <v>17</v>
      </c>
      <c r="I16" s="150">
        <f>H16/F16*100</f>
        <v>89.473684210526315</v>
      </c>
      <c r="J16" s="150">
        <f t="shared" si="3"/>
        <v>100</v>
      </c>
      <c r="K16" s="227"/>
      <c r="L16" s="224"/>
      <c r="M16" s="493"/>
      <c r="N16" s="493"/>
      <c r="O16" s="493"/>
      <c r="Q16" s="230" t="s">
        <v>710</v>
      </c>
    </row>
    <row r="17" spans="1:17" ht="70.400000000000006" customHeight="1" x14ac:dyDescent="0.35">
      <c r="A17" s="2" t="s">
        <v>183</v>
      </c>
      <c r="B17" s="415" t="s">
        <v>711</v>
      </c>
      <c r="C17" s="415"/>
      <c r="D17" s="228">
        <v>0.55000000000000004</v>
      </c>
      <c r="E17" s="229" t="s">
        <v>219</v>
      </c>
      <c r="F17" s="182">
        <v>3</v>
      </c>
      <c r="G17" s="140">
        <f>D17*F17</f>
        <v>1.6500000000000001</v>
      </c>
      <c r="H17" s="140">
        <v>2</v>
      </c>
      <c r="I17" s="150">
        <f>H17/F17*100</f>
        <v>66.666666666666657</v>
      </c>
      <c r="J17" s="150">
        <f t="shared" si="3"/>
        <v>100</v>
      </c>
      <c r="K17" s="227"/>
      <c r="L17" s="224"/>
      <c r="M17" s="493"/>
      <c r="N17" s="493"/>
      <c r="O17" s="493"/>
      <c r="Q17" s="230" t="s">
        <v>712</v>
      </c>
    </row>
    <row r="18" spans="1:17" ht="17.5" x14ac:dyDescent="0.35">
      <c r="A18" s="424" t="s">
        <v>221</v>
      </c>
      <c r="B18" s="424"/>
      <c r="C18" s="424"/>
      <c r="D18" s="2"/>
      <c r="E18" s="50"/>
      <c r="F18" s="135"/>
      <c r="G18" s="135"/>
      <c r="H18" s="135"/>
      <c r="I18" s="136"/>
      <c r="J18" s="136"/>
      <c r="K18" s="275">
        <f>AVERAGE(J19:J21)</f>
        <v>100</v>
      </c>
      <c r="L18" s="24"/>
      <c r="M18" s="494"/>
      <c r="N18" s="494"/>
      <c r="O18" s="494"/>
      <c r="Q18" s="45"/>
    </row>
    <row r="19" spans="1:17" ht="133" customHeight="1" x14ac:dyDescent="0.35">
      <c r="A19" s="2" t="s">
        <v>169</v>
      </c>
      <c r="B19" s="414" t="s">
        <v>713</v>
      </c>
      <c r="C19" s="414"/>
      <c r="D19" s="57">
        <v>1</v>
      </c>
      <c r="E19" s="67" t="s">
        <v>893</v>
      </c>
      <c r="F19" s="325">
        <v>176</v>
      </c>
      <c r="G19" s="203">
        <f>D19*F19</f>
        <v>176</v>
      </c>
      <c r="H19" s="203">
        <v>184</v>
      </c>
      <c r="I19" s="208">
        <f>H19/F19*100</f>
        <v>104.54545454545455</v>
      </c>
      <c r="J19" s="208">
        <f t="shared" ref="J19:J21" si="4">IF(H19/G19*100&gt;=100,100,IF(H19/G19*100&lt;100,H19/G19*100))</f>
        <v>100</v>
      </c>
      <c r="K19" s="227"/>
      <c r="L19" s="224"/>
      <c r="M19" s="493"/>
      <c r="N19" s="493"/>
      <c r="O19" s="493"/>
      <c r="Q19" s="230" t="s">
        <v>714</v>
      </c>
    </row>
    <row r="20" spans="1:17" ht="96" customHeight="1" x14ac:dyDescent="0.35">
      <c r="A20" s="2" t="s">
        <v>176</v>
      </c>
      <c r="B20" s="414" t="s">
        <v>715</v>
      </c>
      <c r="C20" s="414"/>
      <c r="D20" s="57">
        <v>1</v>
      </c>
      <c r="E20" s="67" t="s">
        <v>893</v>
      </c>
      <c r="F20" s="203">
        <v>19</v>
      </c>
      <c r="G20" s="203">
        <f>2*F20</f>
        <v>38</v>
      </c>
      <c r="H20" s="203">
        <v>38</v>
      </c>
      <c r="I20" s="208">
        <f>H20/F20*100</f>
        <v>200</v>
      </c>
      <c r="J20" s="208">
        <f t="shared" si="4"/>
        <v>100</v>
      </c>
      <c r="K20" s="227"/>
      <c r="L20" s="224"/>
      <c r="M20" s="493"/>
      <c r="N20" s="493"/>
      <c r="O20" s="493"/>
      <c r="Q20" s="225" t="s">
        <v>336</v>
      </c>
    </row>
    <row r="21" spans="1:17" ht="92.15" customHeight="1" x14ac:dyDescent="0.35">
      <c r="A21" s="2" t="s">
        <v>183</v>
      </c>
      <c r="B21" s="414" t="s">
        <v>716</v>
      </c>
      <c r="C21" s="414"/>
      <c r="D21" s="57">
        <v>1</v>
      </c>
      <c r="E21" s="67" t="s">
        <v>893</v>
      </c>
      <c r="F21" s="203">
        <v>3</v>
      </c>
      <c r="G21" s="203">
        <f>2*F21</f>
        <v>6</v>
      </c>
      <c r="H21" s="203">
        <v>6</v>
      </c>
      <c r="I21" s="208">
        <f>H21/F21*100</f>
        <v>200</v>
      </c>
      <c r="J21" s="208">
        <f t="shared" si="4"/>
        <v>100</v>
      </c>
      <c r="K21" s="227" t="s">
        <v>533</v>
      </c>
      <c r="L21" s="224"/>
      <c r="M21" s="493"/>
      <c r="N21" s="493"/>
      <c r="O21" s="493"/>
      <c r="Q21" s="225" t="s">
        <v>337</v>
      </c>
    </row>
    <row r="22" spans="1:17" ht="17.5" x14ac:dyDescent="0.35">
      <c r="A22" s="44" t="s">
        <v>223</v>
      </c>
      <c r="B22" s="44"/>
      <c r="C22" s="44"/>
      <c r="D22" s="2"/>
      <c r="E22" s="50"/>
      <c r="F22" s="135"/>
      <c r="G22" s="135"/>
      <c r="H22" s="135"/>
      <c r="I22" s="136"/>
      <c r="J22" s="136"/>
      <c r="K22" s="275">
        <f>AVERAGE(J23:J26)</f>
        <v>75</v>
      </c>
      <c r="L22" s="24"/>
      <c r="M22" s="494"/>
      <c r="N22" s="494"/>
      <c r="O22" s="494"/>
      <c r="Q22" s="4"/>
    </row>
    <row r="23" spans="1:17" ht="39.65" customHeight="1" x14ac:dyDescent="0.35">
      <c r="A23" s="2" t="s">
        <v>224</v>
      </c>
      <c r="B23" s="414" t="s">
        <v>717</v>
      </c>
      <c r="C23" s="414"/>
      <c r="D23" s="228">
        <v>0.77</v>
      </c>
      <c r="E23" s="19" t="s">
        <v>222</v>
      </c>
      <c r="F23" s="185">
        <v>44</v>
      </c>
      <c r="G23" s="140">
        <f>D23*F23</f>
        <v>33.880000000000003</v>
      </c>
      <c r="H23" s="140">
        <v>44</v>
      </c>
      <c r="I23" s="150">
        <f>H23/F23*100</f>
        <v>100</v>
      </c>
      <c r="J23" s="150">
        <f t="shared" ref="J23:J25" si="5">IF(H23/G23*100&gt;=100,100,IF(H23/G23*100&lt;100,H23/G23*100))</f>
        <v>100</v>
      </c>
      <c r="K23" s="227"/>
      <c r="L23" s="224"/>
      <c r="M23" s="493"/>
      <c r="N23" s="493"/>
      <c r="O23" s="493"/>
      <c r="Q23" s="225" t="s">
        <v>718</v>
      </c>
    </row>
    <row r="24" spans="1:17" ht="71.150000000000006" customHeight="1" x14ac:dyDescent="0.35">
      <c r="A24" s="2" t="s">
        <v>215</v>
      </c>
      <c r="B24" s="414" t="s">
        <v>225</v>
      </c>
      <c r="C24" s="414"/>
      <c r="D24" s="228">
        <v>0.79</v>
      </c>
      <c r="E24" s="65" t="s">
        <v>430</v>
      </c>
      <c r="F24" s="185">
        <v>6</v>
      </c>
      <c r="G24" s="140">
        <f>D24*F24</f>
        <v>4.74</v>
      </c>
      <c r="H24" s="140">
        <v>6</v>
      </c>
      <c r="I24" s="150">
        <f t="shared" ref="I24:I25" si="6">H24/F24*100</f>
        <v>100</v>
      </c>
      <c r="J24" s="150">
        <f t="shared" si="5"/>
        <v>100</v>
      </c>
      <c r="K24" s="227"/>
      <c r="L24" s="224"/>
      <c r="M24" s="493"/>
      <c r="N24" s="493"/>
      <c r="O24" s="493"/>
      <c r="Q24" s="225" t="s">
        <v>338</v>
      </c>
    </row>
    <row r="25" spans="1:17" ht="53.5" customHeight="1" x14ac:dyDescent="0.35">
      <c r="A25" s="2" t="s">
        <v>183</v>
      </c>
      <c r="B25" s="415" t="s">
        <v>719</v>
      </c>
      <c r="C25" s="415"/>
      <c r="D25" s="228">
        <v>0.7</v>
      </c>
      <c r="E25" s="231" t="s">
        <v>720</v>
      </c>
      <c r="F25" s="185">
        <v>3</v>
      </c>
      <c r="G25" s="140">
        <f>D25*F25</f>
        <v>2.0999999999999996</v>
      </c>
      <c r="H25" s="140">
        <v>3</v>
      </c>
      <c r="I25" s="150">
        <f t="shared" si="6"/>
        <v>100</v>
      </c>
      <c r="J25" s="150">
        <f t="shared" si="5"/>
        <v>100</v>
      </c>
      <c r="K25" s="227"/>
      <c r="L25" s="224"/>
      <c r="M25" s="493"/>
      <c r="N25" s="493"/>
      <c r="O25" s="493"/>
      <c r="Q25" s="232" t="s">
        <v>721</v>
      </c>
    </row>
    <row r="26" spans="1:17" ht="63" customHeight="1" x14ac:dyDescent="0.35">
      <c r="A26" s="2" t="s">
        <v>245</v>
      </c>
      <c r="B26" s="415" t="s">
        <v>722</v>
      </c>
      <c r="C26" s="415"/>
      <c r="D26" s="228">
        <v>0.5</v>
      </c>
      <c r="E26" s="231" t="s">
        <v>723</v>
      </c>
      <c r="F26" s="185">
        <v>1</v>
      </c>
      <c r="G26" s="140">
        <f>D26*F26</f>
        <v>0.5</v>
      </c>
      <c r="H26" s="140">
        <v>0</v>
      </c>
      <c r="I26" s="150">
        <v>0</v>
      </c>
      <c r="J26" s="150">
        <v>0</v>
      </c>
      <c r="K26" s="227"/>
      <c r="L26" s="224"/>
      <c r="M26" s="493"/>
      <c r="N26" s="493"/>
      <c r="O26" s="493"/>
      <c r="Q26" s="232" t="s">
        <v>724</v>
      </c>
    </row>
    <row r="27" spans="1:17" ht="17.5" x14ac:dyDescent="0.35">
      <c r="A27" s="44" t="s">
        <v>226</v>
      </c>
      <c r="B27" s="88"/>
      <c r="C27" s="88"/>
      <c r="D27" s="2"/>
      <c r="E27" s="50"/>
      <c r="F27" s="135"/>
      <c r="G27" s="135"/>
      <c r="H27" s="135"/>
      <c r="I27" s="136"/>
      <c r="J27" s="136"/>
      <c r="K27" s="275">
        <f>AVERAGE(J28:J30)</f>
        <v>100</v>
      </c>
      <c r="L27" s="24"/>
      <c r="M27" s="494"/>
      <c r="N27" s="494"/>
      <c r="O27" s="494"/>
      <c r="Q27" s="60"/>
    </row>
    <row r="28" spans="1:17" ht="70" customHeight="1" x14ac:dyDescent="0.35">
      <c r="A28" s="2" t="s">
        <v>169</v>
      </c>
      <c r="B28" s="414" t="s">
        <v>227</v>
      </c>
      <c r="C28" s="414"/>
      <c r="D28" s="231" t="s">
        <v>725</v>
      </c>
      <c r="E28" s="233" t="s">
        <v>228</v>
      </c>
      <c r="F28" s="140">
        <v>8</v>
      </c>
      <c r="G28" s="140">
        <f>D28*F28</f>
        <v>7.8879999999999999</v>
      </c>
      <c r="H28" s="140">
        <v>8</v>
      </c>
      <c r="I28" s="150">
        <f t="shared" ref="I28:I30" si="7">H28/F28*100</f>
        <v>100</v>
      </c>
      <c r="J28" s="150">
        <f t="shared" ref="J28:J30" si="8">IF(H28/G28*100&gt;=100,100,IF(H28/G28*100&lt;100,H28/G28*100))</f>
        <v>100</v>
      </c>
      <c r="K28" s="227"/>
      <c r="L28" s="224"/>
      <c r="M28" s="493"/>
      <c r="N28" s="493"/>
      <c r="O28" s="493"/>
      <c r="Q28" s="225" t="s">
        <v>339</v>
      </c>
    </row>
    <row r="29" spans="1:17" ht="54" customHeight="1" x14ac:dyDescent="0.35">
      <c r="A29" s="2" t="s">
        <v>215</v>
      </c>
      <c r="B29" s="414" t="s">
        <v>229</v>
      </c>
      <c r="C29" s="414"/>
      <c r="D29" s="228">
        <v>0.18</v>
      </c>
      <c r="E29" s="233" t="s">
        <v>228</v>
      </c>
      <c r="F29" s="140">
        <v>8</v>
      </c>
      <c r="G29" s="140">
        <f>D29*F29</f>
        <v>1.44</v>
      </c>
      <c r="H29" s="140">
        <v>2</v>
      </c>
      <c r="I29" s="150">
        <f t="shared" si="7"/>
        <v>25</v>
      </c>
      <c r="J29" s="150">
        <f t="shared" si="8"/>
        <v>100</v>
      </c>
      <c r="K29" s="227"/>
      <c r="L29" s="224"/>
      <c r="M29" s="493"/>
      <c r="N29" s="493"/>
      <c r="O29" s="493"/>
      <c r="Q29" s="225" t="s">
        <v>340</v>
      </c>
    </row>
    <row r="30" spans="1:17" ht="61.5" customHeight="1" x14ac:dyDescent="0.35">
      <c r="A30" s="2" t="s">
        <v>183</v>
      </c>
      <c r="B30" s="425" t="s">
        <v>726</v>
      </c>
      <c r="C30" s="425"/>
      <c r="D30" s="234">
        <v>1</v>
      </c>
      <c r="E30" s="50" t="s">
        <v>228</v>
      </c>
      <c r="F30" s="140">
        <v>8</v>
      </c>
      <c r="G30" s="140">
        <f>D30*F30</f>
        <v>8</v>
      </c>
      <c r="H30" s="140">
        <v>8</v>
      </c>
      <c r="I30" s="150">
        <f t="shared" si="7"/>
        <v>100</v>
      </c>
      <c r="J30" s="150">
        <f t="shared" si="8"/>
        <v>100</v>
      </c>
      <c r="K30" s="227"/>
      <c r="L30" s="224"/>
      <c r="M30" s="493"/>
      <c r="N30" s="493"/>
      <c r="O30" s="493"/>
      <c r="Q30" s="225" t="s">
        <v>341</v>
      </c>
    </row>
    <row r="31" spans="1:17" ht="17.5" customHeight="1" x14ac:dyDescent="0.35">
      <c r="A31" s="44" t="s">
        <v>230</v>
      </c>
      <c r="B31" s="88"/>
      <c r="C31" s="88"/>
      <c r="D31" s="46"/>
      <c r="E31" s="50"/>
      <c r="F31" s="141"/>
      <c r="G31" s="142"/>
      <c r="H31" s="135"/>
      <c r="I31" s="136"/>
      <c r="J31" s="136"/>
      <c r="K31" s="275">
        <f>AVERAGE(J32:J33)</f>
        <v>100</v>
      </c>
      <c r="L31" s="24"/>
      <c r="M31" s="494"/>
      <c r="N31" s="494"/>
      <c r="O31" s="494"/>
      <c r="Q31" s="40"/>
    </row>
    <row r="32" spans="1:17" ht="80.5" customHeight="1" x14ac:dyDescent="0.35">
      <c r="A32" s="2" t="s">
        <v>169</v>
      </c>
      <c r="B32" s="414" t="s">
        <v>231</v>
      </c>
      <c r="C32" s="414"/>
      <c r="D32" s="49">
        <v>1</v>
      </c>
      <c r="E32" s="65" t="s">
        <v>232</v>
      </c>
      <c r="F32" s="135">
        <v>7</v>
      </c>
      <c r="G32" s="135">
        <f t="shared" ref="G32:G33" si="9">D32*F32</f>
        <v>7</v>
      </c>
      <c r="H32" s="135">
        <v>7</v>
      </c>
      <c r="I32" s="136">
        <f t="shared" ref="I32:I33" si="10">H32/F32*100</f>
        <v>100</v>
      </c>
      <c r="J32" s="136">
        <f t="shared" ref="J32:J33" si="11">IF(H32/G32*100&gt;=100,100,IF(H32/G32*100&lt;100,H32/G32*100))</f>
        <v>100</v>
      </c>
      <c r="K32" s="138"/>
      <c r="L32" s="24"/>
      <c r="M32" s="494"/>
      <c r="N32" s="494"/>
      <c r="O32" s="494"/>
      <c r="Q32" s="4" t="s">
        <v>342</v>
      </c>
    </row>
    <row r="33" spans="1:17" ht="50.5" customHeight="1" x14ac:dyDescent="0.35">
      <c r="A33" s="2" t="s">
        <v>215</v>
      </c>
      <c r="B33" s="414" t="s">
        <v>233</v>
      </c>
      <c r="C33" s="414"/>
      <c r="D33" s="49">
        <v>1</v>
      </c>
      <c r="E33" s="19" t="s">
        <v>894</v>
      </c>
      <c r="F33" s="135">
        <v>53</v>
      </c>
      <c r="G33" s="135">
        <f t="shared" si="9"/>
        <v>53</v>
      </c>
      <c r="H33" s="135">
        <v>53</v>
      </c>
      <c r="I33" s="136">
        <f t="shared" si="10"/>
        <v>100</v>
      </c>
      <c r="J33" s="136">
        <f t="shared" si="11"/>
        <v>100</v>
      </c>
      <c r="K33" s="138"/>
      <c r="L33" s="24"/>
      <c r="M33" s="494"/>
      <c r="N33" s="494"/>
      <c r="O33" s="494"/>
      <c r="Q33" s="4" t="s">
        <v>343</v>
      </c>
    </row>
    <row r="34" spans="1:17" ht="17.5" x14ac:dyDescent="0.35">
      <c r="A34" s="44" t="s">
        <v>529</v>
      </c>
      <c r="B34" s="83"/>
      <c r="C34" s="44"/>
      <c r="D34" s="2"/>
      <c r="E34" s="50"/>
      <c r="F34" s="135"/>
      <c r="G34" s="135"/>
      <c r="H34" s="135"/>
      <c r="I34" s="136"/>
      <c r="J34" s="136"/>
      <c r="K34" s="138"/>
      <c r="L34" s="147">
        <f>AVERAGE(K35,K40,K43,K46,K50)</f>
        <v>97.444850903447517</v>
      </c>
      <c r="M34" s="494"/>
      <c r="N34" s="494"/>
      <c r="O34" s="494"/>
      <c r="Q34" s="4"/>
    </row>
    <row r="35" spans="1:17" ht="17.5" x14ac:dyDescent="0.35">
      <c r="A35" s="424" t="s">
        <v>344</v>
      </c>
      <c r="B35" s="424"/>
      <c r="C35" s="424"/>
      <c r="D35" s="2"/>
      <c r="E35" s="50"/>
      <c r="F35" s="135"/>
      <c r="G35" s="135"/>
      <c r="H35" s="135"/>
      <c r="I35" s="136"/>
      <c r="J35" s="136"/>
      <c r="K35" s="275">
        <f>AVERAGE(J36:J39)</f>
        <v>100</v>
      </c>
      <c r="L35" s="135"/>
      <c r="M35" s="494"/>
      <c r="N35" s="494"/>
      <c r="O35" s="494"/>
      <c r="Q35" s="4"/>
    </row>
    <row r="36" spans="1:17" ht="65.5" customHeight="1" x14ac:dyDescent="0.35">
      <c r="A36" s="2" t="s">
        <v>224</v>
      </c>
      <c r="B36" s="414" t="s">
        <v>783</v>
      </c>
      <c r="C36" s="414"/>
      <c r="D36" s="49">
        <v>0.55000000000000004</v>
      </c>
      <c r="E36" s="2" t="s">
        <v>784</v>
      </c>
      <c r="F36" s="135">
        <v>44</v>
      </c>
      <c r="G36" s="135">
        <f>D36*F36</f>
        <v>24.200000000000003</v>
      </c>
      <c r="H36" s="135">
        <v>26</v>
      </c>
      <c r="I36" s="136">
        <f t="shared" ref="I36:I39" si="12">H36/F36*100</f>
        <v>59.090909090909093</v>
      </c>
      <c r="J36" s="136">
        <f t="shared" ref="J36:J39" si="13">IF(H36/G36*100&gt;=100,100,IF(H36/G36*100&lt;100,H36/G36*100))</f>
        <v>100</v>
      </c>
      <c r="K36" s="138"/>
      <c r="L36" s="135"/>
      <c r="M36" s="494"/>
      <c r="N36" s="494"/>
      <c r="O36" s="494"/>
      <c r="Q36" s="257" t="s">
        <v>785</v>
      </c>
    </row>
    <row r="37" spans="1:17" ht="75" customHeight="1" x14ac:dyDescent="0.35">
      <c r="A37" s="2" t="s">
        <v>215</v>
      </c>
      <c r="B37" s="414" t="s">
        <v>786</v>
      </c>
      <c r="C37" s="414"/>
      <c r="D37" s="49">
        <v>0.9</v>
      </c>
      <c r="E37" s="2" t="s">
        <v>784</v>
      </c>
      <c r="F37" s="135">
        <v>26</v>
      </c>
      <c r="G37" s="135">
        <f>D37*F37</f>
        <v>23.400000000000002</v>
      </c>
      <c r="H37" s="135">
        <v>26</v>
      </c>
      <c r="I37" s="136">
        <f t="shared" si="12"/>
        <v>100</v>
      </c>
      <c r="J37" s="136">
        <f t="shared" si="13"/>
        <v>100</v>
      </c>
      <c r="K37" s="138"/>
      <c r="L37" s="135"/>
      <c r="M37" s="494"/>
      <c r="N37" s="494"/>
      <c r="O37" s="494"/>
      <c r="Q37" s="258" t="s">
        <v>787</v>
      </c>
    </row>
    <row r="38" spans="1:17" s="330" customFormat="1" ht="75" customHeight="1" x14ac:dyDescent="0.35">
      <c r="A38" s="326" t="s">
        <v>183</v>
      </c>
      <c r="B38" s="442" t="s">
        <v>788</v>
      </c>
      <c r="C38" s="442"/>
      <c r="D38" s="96">
        <v>0.76</v>
      </c>
      <c r="E38" s="326" t="s">
        <v>784</v>
      </c>
      <c r="F38" s="327">
        <v>26</v>
      </c>
      <c r="G38" s="327">
        <f>D38*F38</f>
        <v>19.760000000000002</v>
      </c>
      <c r="H38" s="135">
        <v>26</v>
      </c>
      <c r="I38" s="328">
        <f t="shared" ref="I38" si="14">H38/F38*100</f>
        <v>100</v>
      </c>
      <c r="J38" s="328">
        <f t="shared" ref="J38" si="15">IF(H38/G38*100&gt;=100,100,IF(H38/G38*100&lt;100,H38/G38*100))</f>
        <v>100</v>
      </c>
      <c r="K38" s="329"/>
      <c r="L38" s="327"/>
      <c r="M38" s="492"/>
      <c r="N38" s="492"/>
      <c r="O38" s="492"/>
      <c r="Q38" s="331" t="s">
        <v>789</v>
      </c>
    </row>
    <row r="39" spans="1:17" ht="75" customHeight="1" x14ac:dyDescent="0.35">
      <c r="A39" s="2" t="s">
        <v>245</v>
      </c>
      <c r="B39" s="414" t="s">
        <v>790</v>
      </c>
      <c r="C39" s="414"/>
      <c r="D39" s="49">
        <v>0.15</v>
      </c>
      <c r="E39" s="2" t="s">
        <v>784</v>
      </c>
      <c r="F39" s="135">
        <v>26</v>
      </c>
      <c r="G39" s="135">
        <f>D39*F39</f>
        <v>3.9</v>
      </c>
      <c r="H39" s="135">
        <v>8</v>
      </c>
      <c r="I39" s="136">
        <f t="shared" si="12"/>
        <v>30.76923076923077</v>
      </c>
      <c r="J39" s="136">
        <f t="shared" si="13"/>
        <v>100</v>
      </c>
      <c r="K39" s="138"/>
      <c r="L39" s="135"/>
      <c r="M39" s="494"/>
      <c r="N39" s="494"/>
      <c r="O39" s="494"/>
      <c r="Q39" s="258" t="s">
        <v>791</v>
      </c>
    </row>
    <row r="40" spans="1:17" ht="15.65" customHeight="1" x14ac:dyDescent="0.35">
      <c r="A40" s="408" t="s">
        <v>796</v>
      </c>
      <c r="B40" s="408"/>
      <c r="C40" s="408"/>
      <c r="D40" s="408"/>
      <c r="E40" s="408"/>
      <c r="F40" s="135"/>
      <c r="G40" s="135"/>
      <c r="H40" s="135"/>
      <c r="I40" s="136"/>
      <c r="J40" s="136"/>
      <c r="K40" s="275">
        <f>AVERAGE(J41:J42)</f>
        <v>94.354838709677423</v>
      </c>
      <c r="L40" s="24"/>
      <c r="M40" s="494"/>
      <c r="N40" s="494"/>
      <c r="O40" s="494"/>
      <c r="Q40" s="60"/>
    </row>
    <row r="41" spans="1:17" ht="58.4" customHeight="1" x14ac:dyDescent="0.35">
      <c r="A41" s="2" t="s">
        <v>169</v>
      </c>
      <c r="B41" s="443" t="s">
        <v>792</v>
      </c>
      <c r="C41" s="439"/>
      <c r="D41" s="49">
        <v>0.7</v>
      </c>
      <c r="E41" s="50" t="s">
        <v>895</v>
      </c>
      <c r="F41" s="135">
        <v>78</v>
      </c>
      <c r="G41" s="135">
        <f t="shared" ref="G41:G42" si="16">D41*F41</f>
        <v>54.599999999999994</v>
      </c>
      <c r="H41" s="135">
        <v>58</v>
      </c>
      <c r="I41" s="136">
        <f t="shared" ref="I41:I42" si="17">H41/F41*100</f>
        <v>74.358974358974365</v>
      </c>
      <c r="J41" s="136">
        <f t="shared" ref="J41:J42" si="18">IF(H41/G41*100&gt;=100,100,IF(H41/G41*100&lt;100,H41/G41*100))</f>
        <v>100</v>
      </c>
      <c r="K41" s="138"/>
      <c r="L41" s="24"/>
      <c r="M41" s="494"/>
      <c r="N41" s="494"/>
      <c r="O41" s="494"/>
      <c r="Q41" s="217" t="s">
        <v>793</v>
      </c>
    </row>
    <row r="42" spans="1:17" ht="39" customHeight="1" x14ac:dyDescent="0.35">
      <c r="A42" s="2" t="s">
        <v>215</v>
      </c>
      <c r="B42" s="414" t="s">
        <v>794</v>
      </c>
      <c r="C42" s="414"/>
      <c r="D42" s="49">
        <v>0.6</v>
      </c>
      <c r="E42" s="50" t="s">
        <v>895</v>
      </c>
      <c r="F42" s="135">
        <v>62</v>
      </c>
      <c r="G42" s="135">
        <f t="shared" si="16"/>
        <v>37.199999999999996</v>
      </c>
      <c r="H42" s="135">
        <v>33</v>
      </c>
      <c r="I42" s="136">
        <f t="shared" si="17"/>
        <v>53.225806451612897</v>
      </c>
      <c r="J42" s="136">
        <f t="shared" si="18"/>
        <v>88.709677419354847</v>
      </c>
      <c r="K42" s="138"/>
      <c r="L42" s="24"/>
      <c r="M42" s="508" t="s">
        <v>922</v>
      </c>
      <c r="N42" s="509" t="s">
        <v>923</v>
      </c>
      <c r="O42" s="509" t="s">
        <v>924</v>
      </c>
      <c r="Q42" s="259" t="s">
        <v>795</v>
      </c>
    </row>
    <row r="43" spans="1:17" ht="15.65" customHeight="1" x14ac:dyDescent="0.35">
      <c r="A43" s="396" t="s">
        <v>802</v>
      </c>
      <c r="B43" s="397"/>
      <c r="C43" s="397"/>
      <c r="D43" s="397"/>
      <c r="E43" s="398"/>
      <c r="F43" s="135"/>
      <c r="G43" s="135"/>
      <c r="H43" s="135"/>
      <c r="I43" s="136"/>
      <c r="J43" s="136"/>
      <c r="K43" s="275">
        <f>AVERAGE(J44:J45)</f>
        <v>100</v>
      </c>
      <c r="L43" s="24"/>
      <c r="M43" s="494"/>
      <c r="N43" s="494"/>
      <c r="O43" s="494"/>
      <c r="Q43" s="60"/>
    </row>
    <row r="44" spans="1:17" ht="42" customHeight="1" x14ac:dyDescent="0.35">
      <c r="A44" s="2" t="s">
        <v>169</v>
      </c>
      <c r="B44" s="411" t="s">
        <v>797</v>
      </c>
      <c r="C44" s="412"/>
      <c r="D44" s="49">
        <v>0.88</v>
      </c>
      <c r="E44" s="50" t="s">
        <v>798</v>
      </c>
      <c r="F44" s="135">
        <v>32</v>
      </c>
      <c r="G44" s="135">
        <f t="shared" ref="G44:G45" si="19">D44*F44</f>
        <v>28.16</v>
      </c>
      <c r="H44" s="135">
        <v>31</v>
      </c>
      <c r="I44" s="136">
        <f t="shared" ref="I44:I45" si="20">H44/F44*100</f>
        <v>96.875</v>
      </c>
      <c r="J44" s="136">
        <f t="shared" ref="J44:J45" si="21">IF(H44/G44*100&gt;=100,100,IF(H44/G44*100&lt;100,H44/G44*100))</f>
        <v>100</v>
      </c>
      <c r="K44" s="138"/>
      <c r="L44" s="24"/>
      <c r="M44" s="494"/>
      <c r="N44" s="494"/>
      <c r="O44" s="494"/>
      <c r="Q44" s="217" t="s">
        <v>799</v>
      </c>
    </row>
    <row r="45" spans="1:17" ht="53.5" customHeight="1" x14ac:dyDescent="0.35">
      <c r="A45" s="2" t="s">
        <v>215</v>
      </c>
      <c r="B45" s="411" t="s">
        <v>800</v>
      </c>
      <c r="C45" s="412"/>
      <c r="D45" s="49">
        <v>0.25</v>
      </c>
      <c r="E45" s="50" t="s">
        <v>798</v>
      </c>
      <c r="F45" s="135">
        <v>26</v>
      </c>
      <c r="G45" s="135">
        <f t="shared" si="19"/>
        <v>6.5</v>
      </c>
      <c r="H45" s="135">
        <v>10</v>
      </c>
      <c r="I45" s="136">
        <f t="shared" si="20"/>
        <v>38.461538461538467</v>
      </c>
      <c r="J45" s="136">
        <f t="shared" si="21"/>
        <v>100</v>
      </c>
      <c r="K45" s="138"/>
      <c r="L45" s="24"/>
      <c r="M45" s="494"/>
      <c r="N45" s="494"/>
      <c r="O45" s="494"/>
      <c r="Q45" s="217" t="s">
        <v>801</v>
      </c>
    </row>
    <row r="46" spans="1:17" ht="17.5" x14ac:dyDescent="0.35">
      <c r="A46" s="270" t="s">
        <v>345</v>
      </c>
      <c r="B46" s="47"/>
      <c r="C46" s="48"/>
      <c r="D46" s="2"/>
      <c r="E46" s="50"/>
      <c r="F46" s="143"/>
      <c r="G46" s="143"/>
      <c r="H46" s="143"/>
      <c r="I46" s="136"/>
      <c r="J46" s="144"/>
      <c r="K46" s="276">
        <f>AVERAGE(J47:J49)</f>
        <v>92.869415807560131</v>
      </c>
      <c r="L46" s="24"/>
      <c r="M46" s="494"/>
      <c r="N46" s="494"/>
      <c r="O46" s="494"/>
      <c r="Q46" s="4"/>
    </row>
    <row r="47" spans="1:17" ht="24" customHeight="1" x14ac:dyDescent="0.35">
      <c r="A47" s="2" t="s">
        <v>169</v>
      </c>
      <c r="B47" s="414" t="s">
        <v>234</v>
      </c>
      <c r="C47" s="414"/>
      <c r="D47" s="49">
        <v>0.1</v>
      </c>
      <c r="E47" s="50" t="s">
        <v>512</v>
      </c>
      <c r="F47" s="135">
        <v>776</v>
      </c>
      <c r="G47" s="135">
        <f>D47*F47</f>
        <v>77.600000000000009</v>
      </c>
      <c r="H47" s="135">
        <v>61</v>
      </c>
      <c r="I47" s="136">
        <f>H47/F47*100</f>
        <v>7.8608247422680408</v>
      </c>
      <c r="J47" s="136">
        <f t="shared" ref="J47:J49" si="22">IF(H47/G47*100&gt;=100,100,IF(H47/G47*100&lt;100,H47/G47*100))</f>
        <v>78.608247422680392</v>
      </c>
      <c r="K47" s="138"/>
      <c r="L47" s="24"/>
      <c r="M47" s="508" t="s">
        <v>925</v>
      </c>
      <c r="N47" s="510" t="s">
        <v>926</v>
      </c>
      <c r="O47" s="509" t="s">
        <v>927</v>
      </c>
      <c r="Q47" s="217" t="s">
        <v>346</v>
      </c>
    </row>
    <row r="48" spans="1:17" ht="25.4" customHeight="1" x14ac:dyDescent="0.35">
      <c r="A48" s="2" t="s">
        <v>176</v>
      </c>
      <c r="B48" s="414" t="s">
        <v>236</v>
      </c>
      <c r="C48" s="414"/>
      <c r="D48" s="49">
        <v>0.2</v>
      </c>
      <c r="E48" s="50" t="s">
        <v>512</v>
      </c>
      <c r="F48" s="135">
        <v>79</v>
      </c>
      <c r="G48" s="135">
        <f>D48*F48</f>
        <v>15.8</v>
      </c>
      <c r="H48" s="135">
        <v>17</v>
      </c>
      <c r="I48" s="136">
        <f>H48/F48*100</f>
        <v>21.518987341772153</v>
      </c>
      <c r="J48" s="136">
        <f t="shared" si="22"/>
        <v>100</v>
      </c>
      <c r="K48" s="138"/>
      <c r="L48" s="24"/>
      <c r="M48" s="494"/>
      <c r="N48" s="494"/>
      <c r="O48" s="494"/>
      <c r="Q48" s="217" t="s">
        <v>803</v>
      </c>
    </row>
    <row r="49" spans="1:17" ht="37.4" customHeight="1" x14ac:dyDescent="0.35">
      <c r="A49" s="2" t="s">
        <v>183</v>
      </c>
      <c r="B49" s="414" t="s">
        <v>804</v>
      </c>
      <c r="C49" s="414"/>
      <c r="D49" s="49">
        <v>0.4</v>
      </c>
      <c r="E49" s="50" t="s">
        <v>512</v>
      </c>
      <c r="F49" s="135">
        <v>16</v>
      </c>
      <c r="G49" s="135">
        <f>D49*F49</f>
        <v>6.4</v>
      </c>
      <c r="H49" s="135">
        <v>15</v>
      </c>
      <c r="I49" s="136">
        <f>H49/F49*100</f>
        <v>93.75</v>
      </c>
      <c r="J49" s="136">
        <f t="shared" si="22"/>
        <v>100</v>
      </c>
      <c r="K49" s="138"/>
      <c r="L49" s="24"/>
      <c r="M49" s="494"/>
      <c r="N49" s="494"/>
      <c r="O49" s="494"/>
      <c r="Q49" s="217" t="s">
        <v>805</v>
      </c>
    </row>
    <row r="50" spans="1:17" ht="33.65" customHeight="1" x14ac:dyDescent="0.35">
      <c r="A50" s="408" t="s">
        <v>347</v>
      </c>
      <c r="B50" s="408"/>
      <c r="C50" s="408"/>
      <c r="D50" s="408"/>
      <c r="E50" s="408"/>
      <c r="F50" s="145"/>
      <c r="G50" s="145"/>
      <c r="H50" s="344"/>
      <c r="I50" s="136"/>
      <c r="J50" s="136"/>
      <c r="K50" s="275">
        <f>AVERAGE(J51:J53)</f>
        <v>100</v>
      </c>
      <c r="L50" s="24"/>
      <c r="M50" s="494"/>
      <c r="N50" s="494"/>
      <c r="O50" s="494"/>
      <c r="Q50" s="1"/>
    </row>
    <row r="51" spans="1:17" ht="50.15" customHeight="1" x14ac:dyDescent="0.35">
      <c r="A51" s="2" t="s">
        <v>224</v>
      </c>
      <c r="B51" s="411" t="s">
        <v>348</v>
      </c>
      <c r="C51" s="412"/>
      <c r="D51" s="260">
        <v>1</v>
      </c>
      <c r="E51" s="50" t="s">
        <v>432</v>
      </c>
      <c r="F51" s="135">
        <v>8</v>
      </c>
      <c r="G51" s="135">
        <f t="shared" ref="G51:G53" si="23">D51*F51</f>
        <v>8</v>
      </c>
      <c r="H51" s="135">
        <v>8</v>
      </c>
      <c r="I51" s="136">
        <f t="shared" ref="I51:I53" si="24">H51/F51*100</f>
        <v>100</v>
      </c>
      <c r="J51" s="136">
        <f t="shared" ref="J51:J53" si="25">IF(H51/G51*100&gt;=100,100,IF(H51/G51*100&lt;100,H51/G51*100))</f>
        <v>100</v>
      </c>
      <c r="K51" s="138"/>
      <c r="L51" s="24"/>
      <c r="M51" s="494"/>
      <c r="N51" s="494"/>
      <c r="O51" s="494"/>
      <c r="Q51" s="217" t="s">
        <v>349</v>
      </c>
    </row>
    <row r="52" spans="1:17" ht="53.15" customHeight="1" x14ac:dyDescent="0.35">
      <c r="A52" s="2" t="s">
        <v>176</v>
      </c>
      <c r="B52" s="411" t="s">
        <v>806</v>
      </c>
      <c r="C52" s="412"/>
      <c r="D52" s="261">
        <v>0.4</v>
      </c>
      <c r="E52" s="50" t="s">
        <v>432</v>
      </c>
      <c r="F52" s="135">
        <v>8</v>
      </c>
      <c r="G52" s="135">
        <f t="shared" si="23"/>
        <v>3.2</v>
      </c>
      <c r="H52" s="135">
        <v>8</v>
      </c>
      <c r="I52" s="136">
        <f t="shared" si="24"/>
        <v>100</v>
      </c>
      <c r="J52" s="136">
        <f t="shared" si="25"/>
        <v>100</v>
      </c>
      <c r="K52" s="138"/>
      <c r="L52" s="24"/>
      <c r="M52" s="494"/>
      <c r="N52" s="494"/>
      <c r="O52" s="494"/>
      <c r="Q52" s="259" t="s">
        <v>807</v>
      </c>
    </row>
    <row r="53" spans="1:17" ht="42" customHeight="1" x14ac:dyDescent="0.35">
      <c r="A53" s="2" t="s">
        <v>217</v>
      </c>
      <c r="B53" s="411" t="s">
        <v>808</v>
      </c>
      <c r="C53" s="412"/>
      <c r="D53" s="261">
        <v>0.2</v>
      </c>
      <c r="E53" s="50" t="s">
        <v>432</v>
      </c>
      <c r="F53" s="135">
        <v>8</v>
      </c>
      <c r="G53" s="135">
        <f t="shared" si="23"/>
        <v>1.6</v>
      </c>
      <c r="H53" s="135">
        <v>2</v>
      </c>
      <c r="I53" s="136">
        <f t="shared" si="24"/>
        <v>25</v>
      </c>
      <c r="J53" s="136">
        <f t="shared" si="25"/>
        <v>100</v>
      </c>
      <c r="K53" s="138"/>
      <c r="L53" s="24"/>
      <c r="M53" s="494"/>
      <c r="N53" s="494"/>
      <c r="O53" s="494"/>
      <c r="Q53" s="259" t="s">
        <v>809</v>
      </c>
    </row>
    <row r="54" spans="1:17" ht="32.5" customHeight="1" x14ac:dyDescent="0.35">
      <c r="A54" s="89" t="s">
        <v>827</v>
      </c>
      <c r="B54" s="134"/>
      <c r="C54" s="134"/>
      <c r="D54" s="134"/>
      <c r="E54" s="134"/>
      <c r="F54" s="146"/>
      <c r="G54" s="135"/>
      <c r="H54" s="135"/>
      <c r="I54" s="136"/>
      <c r="J54" s="136"/>
      <c r="K54" s="138"/>
      <c r="L54" s="147">
        <f>AVERAGE(K55,K61,K66,K69,K75,K78)</f>
        <v>84.016846253491863</v>
      </c>
      <c r="M54" s="494"/>
      <c r="N54" s="494"/>
      <c r="O54" s="494"/>
      <c r="Q54" s="61"/>
    </row>
    <row r="55" spans="1:17" ht="17.5" x14ac:dyDescent="0.35">
      <c r="A55" s="444" t="s">
        <v>237</v>
      </c>
      <c r="B55" s="444"/>
      <c r="C55" s="444"/>
      <c r="D55" s="84"/>
      <c r="E55" s="65"/>
      <c r="F55" s="146"/>
      <c r="G55" s="135"/>
      <c r="H55" s="135"/>
      <c r="I55" s="136"/>
      <c r="J55" s="136"/>
      <c r="K55" s="275">
        <f>AVERAGE(J56:J60)</f>
        <v>77.10526315789474</v>
      </c>
      <c r="L55" s="135"/>
      <c r="M55" s="494"/>
      <c r="N55" s="494"/>
      <c r="O55" s="494"/>
      <c r="Q55" s="61"/>
    </row>
    <row r="56" spans="1:17" ht="36" customHeight="1" x14ac:dyDescent="0.35">
      <c r="A56" s="19" t="s">
        <v>224</v>
      </c>
      <c r="B56" s="413" t="s">
        <v>735</v>
      </c>
      <c r="C56" s="413"/>
      <c r="D56" s="66">
        <v>1</v>
      </c>
      <c r="E56" s="65" t="s">
        <v>433</v>
      </c>
      <c r="F56" s="135">
        <v>528</v>
      </c>
      <c r="G56" s="135">
        <f t="shared" ref="G56:G60" si="26">D56*F56</f>
        <v>528</v>
      </c>
      <c r="H56" s="135">
        <v>396</v>
      </c>
      <c r="I56" s="136">
        <f>H56/F56*100</f>
        <v>75</v>
      </c>
      <c r="J56" s="136">
        <f t="shared" ref="J56:J60" si="27">IF(H56/G56*100&gt;=100,100,IF(H56/G56*100&lt;100,H56/G56*100))</f>
        <v>75</v>
      </c>
      <c r="K56" s="138"/>
      <c r="L56" s="135"/>
      <c r="M56" s="494" t="s">
        <v>928</v>
      </c>
      <c r="N56" s="494" t="s">
        <v>931</v>
      </c>
      <c r="O56" s="494" t="s">
        <v>934</v>
      </c>
      <c r="P56" s="505"/>
      <c r="Q56" s="6" t="s">
        <v>350</v>
      </c>
    </row>
    <row r="57" spans="1:17" ht="66.650000000000006" customHeight="1" x14ac:dyDescent="0.35">
      <c r="A57" s="19" t="s">
        <v>215</v>
      </c>
      <c r="B57" s="413" t="s">
        <v>238</v>
      </c>
      <c r="C57" s="413"/>
      <c r="D57" s="66">
        <v>1</v>
      </c>
      <c r="E57" s="65" t="s">
        <v>431</v>
      </c>
      <c r="F57" s="135">
        <v>524</v>
      </c>
      <c r="G57" s="135">
        <f t="shared" si="26"/>
        <v>524</v>
      </c>
      <c r="H57" s="135">
        <v>347</v>
      </c>
      <c r="I57" s="136">
        <f t="shared" ref="I57:I60" si="28">H57/F57*100</f>
        <v>66.221374045801525</v>
      </c>
      <c r="J57" s="136">
        <f t="shared" si="27"/>
        <v>66.221374045801525</v>
      </c>
      <c r="K57" s="24"/>
      <c r="L57" s="24"/>
      <c r="M57" s="494" t="s">
        <v>929</v>
      </c>
      <c r="N57" s="494" t="s">
        <v>932</v>
      </c>
      <c r="O57" s="494" t="s">
        <v>935</v>
      </c>
      <c r="P57" s="505"/>
      <c r="Q57" s="6" t="s">
        <v>351</v>
      </c>
    </row>
    <row r="58" spans="1:17" ht="47.15" customHeight="1" x14ac:dyDescent="0.35">
      <c r="A58" s="19" t="s">
        <v>183</v>
      </c>
      <c r="B58" s="413" t="s">
        <v>239</v>
      </c>
      <c r="C58" s="413"/>
      <c r="D58" s="66">
        <v>0.95</v>
      </c>
      <c r="E58" s="65" t="s">
        <v>431</v>
      </c>
      <c r="F58" s="135">
        <v>524</v>
      </c>
      <c r="G58" s="135">
        <f t="shared" si="26"/>
        <v>497.79999999999995</v>
      </c>
      <c r="H58" s="135">
        <v>345</v>
      </c>
      <c r="I58" s="136">
        <f t="shared" si="28"/>
        <v>65.839694656488547</v>
      </c>
      <c r="J58" s="136">
        <f t="shared" si="27"/>
        <v>69.30494174367216</v>
      </c>
      <c r="K58" s="24"/>
      <c r="L58" s="24"/>
      <c r="M58" s="494" t="s">
        <v>930</v>
      </c>
      <c r="N58" s="494" t="s">
        <v>933</v>
      </c>
      <c r="O58" s="494" t="s">
        <v>936</v>
      </c>
      <c r="P58" s="505"/>
      <c r="Q58" s="6" t="s">
        <v>352</v>
      </c>
    </row>
    <row r="59" spans="1:17" ht="39" customHeight="1" x14ac:dyDescent="0.35">
      <c r="A59" s="19" t="s">
        <v>245</v>
      </c>
      <c r="B59" s="414" t="s">
        <v>240</v>
      </c>
      <c r="C59" s="414"/>
      <c r="D59" s="49">
        <v>1</v>
      </c>
      <c r="E59" s="50" t="s">
        <v>431</v>
      </c>
      <c r="F59" s="236">
        <v>106</v>
      </c>
      <c r="G59" s="236">
        <f t="shared" si="26"/>
        <v>106</v>
      </c>
      <c r="H59" s="236">
        <v>106</v>
      </c>
      <c r="I59" s="237">
        <f>H59/F59*100</f>
        <v>100</v>
      </c>
      <c r="J59" s="237">
        <f t="shared" si="27"/>
        <v>100</v>
      </c>
      <c r="K59" s="24"/>
      <c r="L59" s="24"/>
      <c r="M59" s="494"/>
      <c r="N59" s="494"/>
      <c r="O59" s="494"/>
      <c r="Q59" s="6" t="s">
        <v>353</v>
      </c>
    </row>
    <row r="60" spans="1:17" ht="37.4" customHeight="1" x14ac:dyDescent="0.35">
      <c r="A60" s="19" t="s">
        <v>249</v>
      </c>
      <c r="B60" s="413" t="s">
        <v>241</v>
      </c>
      <c r="C60" s="413"/>
      <c r="D60" s="66">
        <v>1</v>
      </c>
      <c r="E60" s="65" t="s">
        <v>433</v>
      </c>
      <c r="F60" s="135">
        <v>528</v>
      </c>
      <c r="G60" s="135">
        <f t="shared" si="26"/>
        <v>528</v>
      </c>
      <c r="H60" s="135">
        <v>396</v>
      </c>
      <c r="I60" s="136">
        <f t="shared" si="28"/>
        <v>75</v>
      </c>
      <c r="J60" s="136">
        <f t="shared" si="27"/>
        <v>75</v>
      </c>
      <c r="K60" s="24"/>
      <c r="L60" s="24"/>
      <c r="M60" s="494"/>
      <c r="N60" s="494"/>
      <c r="O60" s="494"/>
      <c r="Q60" s="6" t="s">
        <v>354</v>
      </c>
    </row>
    <row r="61" spans="1:17" ht="17.5" x14ac:dyDescent="0.35">
      <c r="A61" s="444" t="s">
        <v>355</v>
      </c>
      <c r="B61" s="444"/>
      <c r="C61" s="444"/>
      <c r="D61" s="19"/>
      <c r="E61" s="65"/>
      <c r="F61" s="135"/>
      <c r="G61" s="135"/>
      <c r="H61" s="135"/>
      <c r="I61" s="136"/>
      <c r="J61" s="136"/>
      <c r="K61" s="275">
        <f>AVERAGE(J62:J65)</f>
        <v>71.548314696026125</v>
      </c>
      <c r="L61" s="24"/>
      <c r="M61" s="494"/>
      <c r="N61" s="494"/>
      <c r="O61" s="494"/>
      <c r="Q61" s="6"/>
    </row>
    <row r="62" spans="1:17" ht="38.15" customHeight="1" x14ac:dyDescent="0.35">
      <c r="A62" s="19" t="s">
        <v>169</v>
      </c>
      <c r="B62" s="413" t="s">
        <v>242</v>
      </c>
      <c r="C62" s="413"/>
      <c r="D62" s="66">
        <v>1</v>
      </c>
      <c r="E62" s="65" t="s">
        <v>275</v>
      </c>
      <c r="F62" s="135">
        <v>491</v>
      </c>
      <c r="G62" s="135">
        <f t="shared" ref="G62:G65" si="29">D62*F62</f>
        <v>491</v>
      </c>
      <c r="H62" s="135">
        <v>347</v>
      </c>
      <c r="I62" s="136">
        <f t="shared" ref="I62:I65" si="30">H62/F62*100</f>
        <v>70.672097759674131</v>
      </c>
      <c r="J62" s="136">
        <f t="shared" ref="J62:J65" si="31">IF(H62/G62*100&gt;=100,100,IF(H62/G62*100&lt;100,H62/G62*100))</f>
        <v>70.672097759674131</v>
      </c>
      <c r="K62" s="138"/>
      <c r="L62" s="24"/>
      <c r="M62" s="494"/>
      <c r="N62" s="494" t="s">
        <v>941</v>
      </c>
      <c r="O62" s="494" t="s">
        <v>942</v>
      </c>
      <c r="Q62" s="6" t="s">
        <v>356</v>
      </c>
    </row>
    <row r="63" spans="1:17" ht="97.5" customHeight="1" x14ac:dyDescent="0.35">
      <c r="A63" s="19" t="s">
        <v>215</v>
      </c>
      <c r="B63" s="413" t="s">
        <v>243</v>
      </c>
      <c r="C63" s="413"/>
      <c r="D63" s="66">
        <v>1</v>
      </c>
      <c r="E63" s="65" t="s">
        <v>275</v>
      </c>
      <c r="F63" s="135">
        <v>491</v>
      </c>
      <c r="G63" s="135">
        <f t="shared" si="29"/>
        <v>491</v>
      </c>
      <c r="H63" s="135">
        <v>348</v>
      </c>
      <c r="I63" s="136">
        <f t="shared" si="30"/>
        <v>70.875763747454172</v>
      </c>
      <c r="J63" s="136">
        <f t="shared" si="31"/>
        <v>70.875763747454172</v>
      </c>
      <c r="K63" s="138"/>
      <c r="L63" s="24"/>
      <c r="M63" s="494" t="s">
        <v>940</v>
      </c>
      <c r="N63" s="494" t="s">
        <v>937</v>
      </c>
      <c r="O63" s="494" t="s">
        <v>943</v>
      </c>
      <c r="Q63" s="6" t="s">
        <v>357</v>
      </c>
    </row>
    <row r="64" spans="1:17" ht="48" customHeight="1" x14ac:dyDescent="0.35">
      <c r="A64" s="2" t="s">
        <v>183</v>
      </c>
      <c r="B64" s="414" t="s">
        <v>244</v>
      </c>
      <c r="C64" s="414"/>
      <c r="D64" s="49">
        <v>1</v>
      </c>
      <c r="E64" s="50" t="s">
        <v>275</v>
      </c>
      <c r="F64" s="236">
        <v>74</v>
      </c>
      <c r="G64" s="236">
        <f t="shared" si="29"/>
        <v>74</v>
      </c>
      <c r="H64" s="236">
        <v>52</v>
      </c>
      <c r="I64" s="237">
        <f t="shared" si="30"/>
        <v>70.270270270270274</v>
      </c>
      <c r="J64" s="237">
        <f t="shared" si="31"/>
        <v>70.270270270270274</v>
      </c>
      <c r="K64" s="138"/>
      <c r="L64" s="24"/>
      <c r="M64" s="494"/>
      <c r="N64" s="494" t="s">
        <v>939</v>
      </c>
      <c r="O64" s="494" t="s">
        <v>944</v>
      </c>
      <c r="Q64" s="4" t="s">
        <v>358</v>
      </c>
    </row>
    <row r="65" spans="1:17" ht="100.5" customHeight="1" x14ac:dyDescent="0.35">
      <c r="A65" s="19" t="s">
        <v>245</v>
      </c>
      <c r="B65" s="413" t="s">
        <v>246</v>
      </c>
      <c r="C65" s="413"/>
      <c r="D65" s="66">
        <v>0.95</v>
      </c>
      <c r="E65" s="65" t="s">
        <v>275</v>
      </c>
      <c r="F65" s="135">
        <v>518</v>
      </c>
      <c r="G65" s="135">
        <f t="shared" si="29"/>
        <v>492.09999999999997</v>
      </c>
      <c r="H65" s="135">
        <v>366</v>
      </c>
      <c r="I65" s="136">
        <f t="shared" si="30"/>
        <v>70.656370656370655</v>
      </c>
      <c r="J65" s="136">
        <f t="shared" si="31"/>
        <v>74.375127006705952</v>
      </c>
      <c r="K65" s="138"/>
      <c r="L65" s="24"/>
      <c r="M65" s="494" t="s">
        <v>938</v>
      </c>
      <c r="N65" s="494" t="s">
        <v>946</v>
      </c>
      <c r="O65" s="494" t="s">
        <v>945</v>
      </c>
      <c r="Q65" s="6" t="s">
        <v>359</v>
      </c>
    </row>
    <row r="66" spans="1:17" ht="17.5" x14ac:dyDescent="0.35">
      <c r="A66" s="271" t="s">
        <v>360</v>
      </c>
      <c r="B66" s="90"/>
      <c r="C66" s="90"/>
      <c r="D66" s="19"/>
      <c r="E66" s="65"/>
      <c r="F66" s="135"/>
      <c r="G66" s="135"/>
      <c r="H66" s="135"/>
      <c r="I66" s="136"/>
      <c r="J66" s="136"/>
      <c r="K66" s="275">
        <f>AVERAGE(J67:J68)</f>
        <v>73.707383321326347</v>
      </c>
      <c r="L66" s="24"/>
      <c r="M66" s="494"/>
      <c r="N66" s="494"/>
      <c r="O66" s="494"/>
      <c r="Q66" s="61"/>
    </row>
    <row r="67" spans="1:17" ht="138" customHeight="1" x14ac:dyDescent="0.35">
      <c r="A67" s="19" t="s">
        <v>169</v>
      </c>
      <c r="B67" s="413" t="s">
        <v>247</v>
      </c>
      <c r="C67" s="413"/>
      <c r="D67" s="66">
        <v>1</v>
      </c>
      <c r="E67" s="65" t="s">
        <v>265</v>
      </c>
      <c r="F67" s="135">
        <v>2024</v>
      </c>
      <c r="G67" s="135">
        <f t="shared" ref="G67:G68" si="32">D67*F67</f>
        <v>2024</v>
      </c>
      <c r="H67" s="135">
        <v>1862</v>
      </c>
      <c r="I67" s="136">
        <f>H67/F67*100</f>
        <v>91.996047430830046</v>
      </c>
      <c r="J67" s="136">
        <f t="shared" ref="J67:J68" si="33">IF(H67/G67*100&gt;=100,100,IF(H67/G67*100&lt;100,H67/G67*100))</f>
        <v>91.996047430830046</v>
      </c>
      <c r="K67" s="138"/>
      <c r="L67" s="24"/>
      <c r="M67" s="494"/>
      <c r="N67" s="494"/>
      <c r="O67" s="494"/>
      <c r="Q67" s="55" t="s">
        <v>361</v>
      </c>
    </row>
    <row r="68" spans="1:17" ht="98.5" customHeight="1" x14ac:dyDescent="0.35">
      <c r="A68" s="19" t="s">
        <v>215</v>
      </c>
      <c r="B68" s="413" t="s">
        <v>734</v>
      </c>
      <c r="C68" s="413"/>
      <c r="D68" s="66">
        <v>0.84</v>
      </c>
      <c r="E68" s="65" t="s">
        <v>434</v>
      </c>
      <c r="F68" s="135">
        <v>986</v>
      </c>
      <c r="G68" s="135">
        <f t="shared" si="32"/>
        <v>828.24</v>
      </c>
      <c r="H68" s="135">
        <v>459</v>
      </c>
      <c r="I68" s="136">
        <f t="shared" ref="I68" si="34">H68/F68*100</f>
        <v>46.551724137931032</v>
      </c>
      <c r="J68" s="136">
        <f t="shared" si="33"/>
        <v>55.418719211822662</v>
      </c>
      <c r="K68" s="138"/>
      <c r="L68" s="24"/>
      <c r="M68" s="494"/>
      <c r="N68" s="494"/>
      <c r="O68" s="494"/>
      <c r="Q68" s="56" t="s">
        <v>362</v>
      </c>
    </row>
    <row r="69" spans="1:17" ht="17.5" x14ac:dyDescent="0.35">
      <c r="A69" s="272" t="s">
        <v>363</v>
      </c>
      <c r="B69" s="63"/>
      <c r="C69" s="64"/>
      <c r="D69" s="19"/>
      <c r="E69" s="65"/>
      <c r="F69" s="142"/>
      <c r="G69" s="135"/>
      <c r="H69" s="135"/>
      <c r="I69" s="136"/>
      <c r="J69" s="136"/>
      <c r="K69" s="275">
        <f>AVERAGE(J70:J74)</f>
        <v>100</v>
      </c>
      <c r="L69" s="24"/>
      <c r="M69" s="494"/>
      <c r="N69" s="494"/>
      <c r="O69" s="494"/>
      <c r="Q69" s="6"/>
    </row>
    <row r="70" spans="1:17" ht="197.15" customHeight="1" x14ac:dyDescent="0.35">
      <c r="A70" s="19" t="s">
        <v>224</v>
      </c>
      <c r="B70" s="413" t="s">
        <v>727</v>
      </c>
      <c r="C70" s="413"/>
      <c r="D70" s="66">
        <v>1</v>
      </c>
      <c r="E70" s="65" t="s">
        <v>896</v>
      </c>
      <c r="F70" s="135">
        <v>27</v>
      </c>
      <c r="G70" s="135">
        <f>D70*F70</f>
        <v>27</v>
      </c>
      <c r="H70" s="135">
        <v>27</v>
      </c>
      <c r="I70" s="136">
        <f t="shared" ref="I70:I73" si="35">H70/F70*100</f>
        <v>100</v>
      </c>
      <c r="J70" s="136">
        <f t="shared" ref="J70:J77" si="36">IF(H70/G70*100&gt;=100,100,IF(H70/G70*100&lt;100,H70/G70*100))</f>
        <v>100</v>
      </c>
      <c r="K70" s="138"/>
      <c r="L70" s="24"/>
      <c r="M70" s="494"/>
      <c r="N70" s="494"/>
      <c r="O70" s="494"/>
      <c r="Q70" s="6" t="s">
        <v>730</v>
      </c>
    </row>
    <row r="71" spans="1:17" ht="198.65" customHeight="1" x14ac:dyDescent="0.35">
      <c r="A71" s="19" t="s">
        <v>176</v>
      </c>
      <c r="B71" s="413" t="s">
        <v>729</v>
      </c>
      <c r="C71" s="413"/>
      <c r="D71" s="66">
        <v>1</v>
      </c>
      <c r="E71" s="65" t="s">
        <v>897</v>
      </c>
      <c r="F71" s="135">
        <v>5</v>
      </c>
      <c r="G71" s="135">
        <f t="shared" ref="G71:G74" si="37">D71*F71</f>
        <v>5</v>
      </c>
      <c r="H71" s="135">
        <v>5</v>
      </c>
      <c r="I71" s="136">
        <f t="shared" si="35"/>
        <v>100</v>
      </c>
      <c r="J71" s="136">
        <f t="shared" si="36"/>
        <v>100</v>
      </c>
      <c r="K71" s="138"/>
      <c r="L71" s="24"/>
      <c r="M71" s="494"/>
      <c r="N71" s="494"/>
      <c r="O71" s="494"/>
      <c r="Q71" s="6" t="s">
        <v>731</v>
      </c>
    </row>
    <row r="72" spans="1:17" ht="216.65" customHeight="1" x14ac:dyDescent="0.35">
      <c r="A72" s="19" t="s">
        <v>217</v>
      </c>
      <c r="B72" s="413" t="s">
        <v>728</v>
      </c>
      <c r="C72" s="413"/>
      <c r="D72" s="66">
        <v>1</v>
      </c>
      <c r="E72" s="65" t="s">
        <v>898</v>
      </c>
      <c r="F72" s="135">
        <v>3</v>
      </c>
      <c r="G72" s="135">
        <f t="shared" si="37"/>
        <v>3</v>
      </c>
      <c r="H72" s="135">
        <v>3</v>
      </c>
      <c r="I72" s="136">
        <f t="shared" si="35"/>
        <v>100</v>
      </c>
      <c r="J72" s="136">
        <f t="shared" si="36"/>
        <v>100</v>
      </c>
      <c r="K72" s="138"/>
      <c r="L72" s="24"/>
      <c r="M72" s="494"/>
      <c r="N72" s="494"/>
      <c r="O72" s="494"/>
      <c r="Q72" s="6" t="s">
        <v>732</v>
      </c>
    </row>
    <row r="73" spans="1:17" ht="378.65" customHeight="1" x14ac:dyDescent="0.35">
      <c r="A73" s="19" t="s">
        <v>245</v>
      </c>
      <c r="B73" s="413" t="s">
        <v>248</v>
      </c>
      <c r="C73" s="413"/>
      <c r="D73" s="66">
        <v>1</v>
      </c>
      <c r="E73" s="65" t="s">
        <v>431</v>
      </c>
      <c r="F73" s="135">
        <v>3537</v>
      </c>
      <c r="G73" s="135">
        <f t="shared" si="37"/>
        <v>3537</v>
      </c>
      <c r="H73" s="135">
        <v>3537</v>
      </c>
      <c r="I73" s="136">
        <f t="shared" si="35"/>
        <v>100</v>
      </c>
      <c r="J73" s="136">
        <f t="shared" si="36"/>
        <v>100</v>
      </c>
      <c r="K73" s="138"/>
      <c r="L73" s="24"/>
      <c r="M73" s="494"/>
      <c r="N73" s="494"/>
      <c r="O73" s="494"/>
      <c r="Q73" s="6" t="s">
        <v>733</v>
      </c>
    </row>
    <row r="74" spans="1:17" ht="248.25" customHeight="1" x14ac:dyDescent="0.35">
      <c r="A74" s="19" t="s">
        <v>249</v>
      </c>
      <c r="B74" s="413" t="s">
        <v>250</v>
      </c>
      <c r="C74" s="413"/>
      <c r="D74" s="235">
        <v>1</v>
      </c>
      <c r="E74" s="65" t="s">
        <v>431</v>
      </c>
      <c r="F74" s="135">
        <v>3429</v>
      </c>
      <c r="G74" s="135">
        <f t="shared" si="37"/>
        <v>3429</v>
      </c>
      <c r="H74" s="135">
        <v>3429</v>
      </c>
      <c r="I74" s="136">
        <f>H74/F74*100</f>
        <v>100</v>
      </c>
      <c r="J74" s="136">
        <f t="shared" si="36"/>
        <v>100</v>
      </c>
      <c r="K74" s="138"/>
      <c r="L74" s="24"/>
      <c r="M74" s="494"/>
      <c r="N74" s="494"/>
      <c r="O74" s="494"/>
      <c r="Q74" s="6" t="s">
        <v>364</v>
      </c>
    </row>
    <row r="75" spans="1:17" ht="15" x14ac:dyDescent="0.35">
      <c r="A75" s="408" t="s">
        <v>365</v>
      </c>
      <c r="B75" s="408"/>
      <c r="C75" s="408"/>
      <c r="D75" s="39"/>
      <c r="E75" s="39"/>
      <c r="F75" s="153"/>
      <c r="G75" s="149"/>
      <c r="H75" s="140"/>
      <c r="I75" s="150"/>
      <c r="J75" s="150"/>
      <c r="K75" s="277">
        <f>AVERAGE(J76:J77)</f>
        <v>96.025830631418273</v>
      </c>
      <c r="L75" s="24"/>
      <c r="M75" s="494"/>
      <c r="N75" s="494"/>
      <c r="O75" s="494"/>
      <c r="Q75" s="3"/>
    </row>
    <row r="76" spans="1:17" ht="84.65" customHeight="1" x14ac:dyDescent="0.35">
      <c r="A76" s="50" t="s">
        <v>169</v>
      </c>
      <c r="B76" s="414" t="s">
        <v>366</v>
      </c>
      <c r="C76" s="414"/>
      <c r="D76" s="49">
        <v>1</v>
      </c>
      <c r="E76" s="50" t="s">
        <v>431</v>
      </c>
      <c r="F76" s="140">
        <v>7545</v>
      </c>
      <c r="G76" s="140">
        <f>D76*F76</f>
        <v>7545</v>
      </c>
      <c r="H76" s="140">
        <v>7299</v>
      </c>
      <c r="I76" s="150">
        <f>H76/F76*100</f>
        <v>96.739562624254475</v>
      </c>
      <c r="J76" s="136">
        <f t="shared" si="36"/>
        <v>96.739562624254475</v>
      </c>
      <c r="K76" s="150"/>
      <c r="L76" s="24"/>
      <c r="M76" s="494" t="s">
        <v>947</v>
      </c>
      <c r="N76" s="494" t="s">
        <v>949</v>
      </c>
      <c r="O76" s="494" t="s">
        <v>951</v>
      </c>
      <c r="Q76" s="3" t="s">
        <v>367</v>
      </c>
    </row>
    <row r="77" spans="1:17" ht="56.5" customHeight="1" x14ac:dyDescent="0.35">
      <c r="A77" s="50" t="s">
        <v>176</v>
      </c>
      <c r="B77" s="414" t="s">
        <v>368</v>
      </c>
      <c r="C77" s="414"/>
      <c r="D77" s="51">
        <v>1</v>
      </c>
      <c r="E77" s="50" t="s">
        <v>431</v>
      </c>
      <c r="F77" s="140">
        <v>7786</v>
      </c>
      <c r="G77" s="140">
        <f t="shared" ref="G77" si="38">D77*F77</f>
        <v>7786</v>
      </c>
      <c r="H77" s="140">
        <v>7421</v>
      </c>
      <c r="I77" s="150">
        <f>H77/F77*100</f>
        <v>95.312098638582071</v>
      </c>
      <c r="J77" s="136">
        <f t="shared" si="36"/>
        <v>95.312098638582071</v>
      </c>
      <c r="K77" s="150"/>
      <c r="M77" s="494" t="s">
        <v>948</v>
      </c>
      <c r="N77" s="494" t="s">
        <v>950</v>
      </c>
      <c r="O77" s="494" t="s">
        <v>952</v>
      </c>
      <c r="Q77" s="3" t="s">
        <v>369</v>
      </c>
    </row>
    <row r="78" spans="1:17" ht="22.5" customHeight="1" x14ac:dyDescent="0.35">
      <c r="A78" s="405" t="s">
        <v>370</v>
      </c>
      <c r="B78" s="406"/>
      <c r="C78" s="406"/>
      <c r="D78" s="406"/>
      <c r="E78" s="407"/>
      <c r="F78" s="135"/>
      <c r="G78" s="135"/>
      <c r="H78" s="135"/>
      <c r="I78" s="136"/>
      <c r="J78" s="136"/>
      <c r="K78" s="275">
        <f>AVERAGE(J79:J85)</f>
        <v>85.714285714285708</v>
      </c>
      <c r="L78" s="24"/>
      <c r="M78" s="494"/>
      <c r="N78" s="494"/>
      <c r="O78" s="494"/>
      <c r="Q78" s="6"/>
    </row>
    <row r="79" spans="1:17" ht="41.15" customHeight="1" x14ac:dyDescent="0.35">
      <c r="A79" s="148" t="s">
        <v>169</v>
      </c>
      <c r="B79" s="413" t="s">
        <v>251</v>
      </c>
      <c r="C79" s="413"/>
      <c r="D79" s="66">
        <v>0.7</v>
      </c>
      <c r="E79" s="65" t="s">
        <v>431</v>
      </c>
      <c r="F79" s="135">
        <v>5274</v>
      </c>
      <c r="G79" s="135">
        <f>D79*F79</f>
        <v>3691.7999999999997</v>
      </c>
      <c r="H79" s="135">
        <v>3781</v>
      </c>
      <c r="I79" s="136">
        <f t="shared" ref="I79:I85" si="39">H79/F79*100</f>
        <v>71.691315889268097</v>
      </c>
      <c r="J79" s="136">
        <f>IF(H79/G79*100&gt;=100,100,IF(H79/G79*100&lt;100,H79/G79*100))</f>
        <v>100</v>
      </c>
      <c r="K79" s="138"/>
      <c r="L79" s="24"/>
      <c r="M79" s="494"/>
      <c r="N79" s="494"/>
      <c r="O79" s="494"/>
      <c r="Q79" s="6" t="s">
        <v>371</v>
      </c>
    </row>
    <row r="80" spans="1:17" ht="26.15" customHeight="1" x14ac:dyDescent="0.35">
      <c r="A80" s="140" t="s">
        <v>176</v>
      </c>
      <c r="B80" s="413" t="s">
        <v>252</v>
      </c>
      <c r="C80" s="413"/>
      <c r="D80" s="66">
        <v>0.1</v>
      </c>
      <c r="E80" s="65" t="s">
        <v>431</v>
      </c>
      <c r="F80" s="135">
        <v>5274</v>
      </c>
      <c r="G80" s="135">
        <f t="shared" ref="G80:G85" si="40">D80*F80</f>
        <v>527.4</v>
      </c>
      <c r="H80" s="135">
        <v>528</v>
      </c>
      <c r="I80" s="136">
        <f>H80/F80*100</f>
        <v>10.011376564277588</v>
      </c>
      <c r="J80" s="136">
        <f>IF(H80/G80*100&gt;=100,100,IF(H80/G80*100&lt;100,H80/G80*100))</f>
        <v>100</v>
      </c>
      <c r="K80" s="138"/>
      <c r="L80" s="24"/>
      <c r="M80" s="494"/>
      <c r="N80" s="494"/>
      <c r="O80" s="494"/>
      <c r="Q80" s="6" t="s">
        <v>372</v>
      </c>
    </row>
    <row r="81" spans="1:17" ht="24" customHeight="1" x14ac:dyDescent="0.35">
      <c r="A81" s="140" t="s">
        <v>217</v>
      </c>
      <c r="B81" s="413" t="s">
        <v>253</v>
      </c>
      <c r="C81" s="413"/>
      <c r="D81" s="235">
        <v>0.1</v>
      </c>
      <c r="E81" s="65" t="s">
        <v>431</v>
      </c>
      <c r="F81" s="135">
        <v>5274</v>
      </c>
      <c r="G81" s="135">
        <f t="shared" si="40"/>
        <v>527.4</v>
      </c>
      <c r="H81" s="135">
        <v>600</v>
      </c>
      <c r="I81" s="136">
        <f t="shared" si="39"/>
        <v>11.376564277588168</v>
      </c>
      <c r="J81" s="136">
        <f t="shared" ref="J81:J82" si="41">IF(H81/G81*100&gt;=100,100,IF(H81/G81*100&lt;100,H81/G81*100))</f>
        <v>100</v>
      </c>
      <c r="K81" s="138"/>
      <c r="L81" s="24"/>
      <c r="M81" s="494"/>
      <c r="N81" s="494"/>
      <c r="O81" s="494"/>
      <c r="Q81" s="6" t="s">
        <v>373</v>
      </c>
    </row>
    <row r="82" spans="1:17" ht="39" customHeight="1" x14ac:dyDescent="0.35">
      <c r="A82" s="140" t="s">
        <v>254</v>
      </c>
      <c r="B82" s="413" t="s">
        <v>255</v>
      </c>
      <c r="C82" s="413"/>
      <c r="D82" s="361">
        <v>3.5000000000000003E-2</v>
      </c>
      <c r="E82" s="65" t="s">
        <v>431</v>
      </c>
      <c r="F82" s="135">
        <v>5274</v>
      </c>
      <c r="G82" s="135">
        <f t="shared" si="40"/>
        <v>184.59</v>
      </c>
      <c r="H82" s="135">
        <v>0</v>
      </c>
      <c r="I82" s="136">
        <f t="shared" si="39"/>
        <v>0</v>
      </c>
      <c r="J82" s="136">
        <f t="shared" si="41"/>
        <v>0</v>
      </c>
      <c r="K82" s="138"/>
      <c r="L82" s="24"/>
      <c r="M82" s="494"/>
      <c r="N82" s="494"/>
      <c r="O82" s="494"/>
      <c r="Q82" s="6" t="s">
        <v>374</v>
      </c>
    </row>
    <row r="83" spans="1:17" ht="24" customHeight="1" x14ac:dyDescent="0.35">
      <c r="A83" s="140">
        <v>5</v>
      </c>
      <c r="B83" s="413" t="s">
        <v>256</v>
      </c>
      <c r="C83" s="413"/>
      <c r="D83" s="66">
        <v>0.8</v>
      </c>
      <c r="E83" s="65" t="s">
        <v>431</v>
      </c>
      <c r="F83" s="135">
        <v>1380</v>
      </c>
      <c r="G83" s="135">
        <f t="shared" si="40"/>
        <v>1104</v>
      </c>
      <c r="H83" s="135">
        <v>1115</v>
      </c>
      <c r="I83" s="136">
        <f t="shared" si="39"/>
        <v>80.79710144927536</v>
      </c>
      <c r="J83" s="136">
        <f>IF(H83/G83*100&gt;=100,100,IF(H83/G83*100&lt;100,H83/G83*100))</f>
        <v>100</v>
      </c>
      <c r="K83" s="138"/>
      <c r="L83" s="24"/>
      <c r="M83" s="494"/>
      <c r="N83" s="494"/>
      <c r="O83" s="494"/>
      <c r="Q83" s="6" t="s">
        <v>376</v>
      </c>
    </row>
    <row r="84" spans="1:17" ht="23.15" customHeight="1" x14ac:dyDescent="0.35">
      <c r="A84" s="140">
        <v>6</v>
      </c>
      <c r="B84" s="429" t="s">
        <v>257</v>
      </c>
      <c r="C84" s="429"/>
      <c r="D84" s="66">
        <v>0.6</v>
      </c>
      <c r="E84" s="65" t="s">
        <v>431</v>
      </c>
      <c r="F84" s="135">
        <v>524</v>
      </c>
      <c r="G84" s="135">
        <f t="shared" si="40"/>
        <v>314.39999999999998</v>
      </c>
      <c r="H84" s="135">
        <v>327</v>
      </c>
      <c r="I84" s="136">
        <f t="shared" si="39"/>
        <v>62.404580152671748</v>
      </c>
      <c r="J84" s="136">
        <f t="shared" ref="J84:J85" si="42">IF(H84/G84*100&gt;=100,100,IF(H84/G84*100&lt;100,H84/G84*100))</f>
        <v>100</v>
      </c>
      <c r="K84" s="138"/>
      <c r="L84" s="24"/>
      <c r="M84" s="494"/>
      <c r="N84" s="494"/>
      <c r="O84" s="494"/>
      <c r="Q84" s="6" t="s">
        <v>377</v>
      </c>
    </row>
    <row r="85" spans="1:17" ht="37.4" customHeight="1" x14ac:dyDescent="0.35">
      <c r="A85" s="140">
        <v>7</v>
      </c>
      <c r="B85" s="413" t="s">
        <v>258</v>
      </c>
      <c r="C85" s="413"/>
      <c r="D85" s="66">
        <v>0.68</v>
      </c>
      <c r="E85" s="65" t="s">
        <v>431</v>
      </c>
      <c r="F85" s="135">
        <v>162</v>
      </c>
      <c r="G85" s="135">
        <f t="shared" si="40"/>
        <v>110.16000000000001</v>
      </c>
      <c r="H85" s="135">
        <v>160</v>
      </c>
      <c r="I85" s="136">
        <f t="shared" si="39"/>
        <v>98.76543209876543</v>
      </c>
      <c r="J85" s="136">
        <f t="shared" si="42"/>
        <v>100</v>
      </c>
      <c r="K85" s="138"/>
      <c r="L85" s="24"/>
      <c r="M85" s="494"/>
      <c r="N85" s="494"/>
      <c r="O85" s="494"/>
      <c r="Q85" s="6" t="s">
        <v>378</v>
      </c>
    </row>
    <row r="86" spans="1:17" ht="17.5" x14ac:dyDescent="0.35">
      <c r="A86" s="44" t="s">
        <v>530</v>
      </c>
      <c r="B86" s="83"/>
      <c r="C86" s="44"/>
      <c r="D86" s="2"/>
      <c r="E86" s="50"/>
      <c r="F86" s="154"/>
      <c r="G86" s="154"/>
      <c r="H86" s="154"/>
      <c r="I86" s="136"/>
      <c r="J86" s="155"/>
      <c r="K86" s="156"/>
      <c r="L86" s="157">
        <f>AVERAGE(K87,K91,K96)</f>
        <v>90.480779770861361</v>
      </c>
      <c r="M86" s="494"/>
      <c r="N86" s="494"/>
      <c r="O86" s="494"/>
      <c r="Q86" s="60"/>
    </row>
    <row r="87" spans="1:17" ht="17.5" x14ac:dyDescent="0.35">
      <c r="A87" s="402" t="s">
        <v>259</v>
      </c>
      <c r="B87" s="403"/>
      <c r="C87" s="403"/>
      <c r="D87" s="403"/>
      <c r="E87" s="404"/>
      <c r="F87" s="135"/>
      <c r="G87" s="135"/>
      <c r="H87" s="135"/>
      <c r="I87" s="136"/>
      <c r="J87" s="136"/>
      <c r="K87" s="275">
        <f>AVERAGE(J88:J90)</f>
        <v>89.133606597374708</v>
      </c>
      <c r="L87" s="135" t="s">
        <v>533</v>
      </c>
      <c r="M87" s="494"/>
      <c r="N87" s="494"/>
      <c r="O87" s="494"/>
      <c r="Q87" s="60"/>
    </row>
    <row r="88" spans="1:17" ht="58.4" customHeight="1" x14ac:dyDescent="0.35">
      <c r="A88" s="2" t="s">
        <v>169</v>
      </c>
      <c r="B88" s="414" t="s">
        <v>260</v>
      </c>
      <c r="C88" s="414"/>
      <c r="D88" s="49">
        <v>0.9</v>
      </c>
      <c r="E88" s="50" t="s">
        <v>265</v>
      </c>
      <c r="F88" s="135">
        <v>2300</v>
      </c>
      <c r="G88" s="135">
        <f t="shared" ref="G88:G90" si="43">D88*F88</f>
        <v>2070</v>
      </c>
      <c r="H88" s="135">
        <v>1958</v>
      </c>
      <c r="I88" s="136">
        <f t="shared" ref="I88:I90" si="44">H88/F88*100</f>
        <v>85.130434782608702</v>
      </c>
      <c r="J88" s="136">
        <f>IF(H88/G88*100&gt;=100,100,IF(H88/G88*100&lt;100,H88/G88*100))</f>
        <v>94.589371980676333</v>
      </c>
      <c r="K88" s="138"/>
      <c r="L88" s="135"/>
      <c r="M88" s="494"/>
      <c r="N88" s="502" t="s">
        <v>956</v>
      </c>
      <c r="O88" s="511" t="s">
        <v>959</v>
      </c>
      <c r="Q88" s="4" t="s">
        <v>379</v>
      </c>
    </row>
    <row r="89" spans="1:17" ht="51" customHeight="1" x14ac:dyDescent="0.35">
      <c r="A89" s="2" t="s">
        <v>215</v>
      </c>
      <c r="B89" s="414" t="s">
        <v>261</v>
      </c>
      <c r="C89" s="414"/>
      <c r="D89" s="49">
        <v>0.9</v>
      </c>
      <c r="E89" s="50" t="s">
        <v>433</v>
      </c>
      <c r="F89" s="135">
        <v>528</v>
      </c>
      <c r="G89" s="135">
        <f t="shared" si="43"/>
        <v>475.2</v>
      </c>
      <c r="H89" s="135">
        <v>346</v>
      </c>
      <c r="I89" s="136">
        <f t="shared" si="44"/>
        <v>65.530303030303031</v>
      </c>
      <c r="J89" s="136">
        <f>IF(H89/G89*100&gt;=100,100,IF(H89/G89*100&lt;100,H89/G89*100))</f>
        <v>72.81144781144782</v>
      </c>
      <c r="K89" s="138"/>
      <c r="L89" s="135"/>
      <c r="M89" s="503" t="s">
        <v>953</v>
      </c>
      <c r="N89" s="502" t="s">
        <v>957</v>
      </c>
      <c r="O89" s="511" t="s">
        <v>960</v>
      </c>
      <c r="Q89" s="4" t="s">
        <v>380</v>
      </c>
    </row>
    <row r="90" spans="1:17" ht="56.15" customHeight="1" x14ac:dyDescent="0.35">
      <c r="A90" s="2" t="s">
        <v>183</v>
      </c>
      <c r="B90" s="414" t="s">
        <v>263</v>
      </c>
      <c r="C90" s="414"/>
      <c r="D90" s="49">
        <v>0.9</v>
      </c>
      <c r="E90" s="53" t="s">
        <v>899</v>
      </c>
      <c r="F90" s="135">
        <v>729</v>
      </c>
      <c r="G90" s="135">
        <f t="shared" si="43"/>
        <v>656.1</v>
      </c>
      <c r="H90" s="135">
        <v>729</v>
      </c>
      <c r="I90" s="136">
        <f t="shared" si="44"/>
        <v>100</v>
      </c>
      <c r="J90" s="136">
        <f t="shared" ref="J90" si="45">IF(H90/G90*100&gt;=100,100,IF(H90/G90*100&lt;100,H90/G90*100))</f>
        <v>100</v>
      </c>
      <c r="K90" s="138"/>
      <c r="L90" s="135"/>
      <c r="M90" s="503"/>
      <c r="O90" s="494"/>
      <c r="Q90" s="256" t="s">
        <v>683</v>
      </c>
    </row>
    <row r="91" spans="1:17" ht="17.5" x14ac:dyDescent="0.35">
      <c r="A91" s="424" t="s">
        <v>381</v>
      </c>
      <c r="B91" s="424"/>
      <c r="C91" s="424"/>
      <c r="D91" s="2"/>
      <c r="E91" s="50"/>
      <c r="F91" s="135"/>
      <c r="G91" s="135"/>
      <c r="H91" s="135"/>
      <c r="I91" s="136"/>
      <c r="J91" s="136"/>
      <c r="K91" s="275">
        <f>AVERAGE(J92:J95)</f>
        <v>98.148148148148152</v>
      </c>
      <c r="M91" s="494"/>
      <c r="N91" s="494"/>
      <c r="O91" s="494"/>
      <c r="Q91" s="60"/>
    </row>
    <row r="92" spans="1:17" ht="53.15" customHeight="1" x14ac:dyDescent="0.35">
      <c r="A92" s="2" t="s">
        <v>169</v>
      </c>
      <c r="B92" s="414" t="s">
        <v>264</v>
      </c>
      <c r="C92" s="414"/>
      <c r="D92" s="49">
        <v>0.9</v>
      </c>
      <c r="E92" s="50" t="s">
        <v>265</v>
      </c>
      <c r="F92" s="135">
        <v>90</v>
      </c>
      <c r="G92" s="135">
        <f t="shared" ref="G92:G94" si="46">D92*F92</f>
        <v>81</v>
      </c>
      <c r="H92" s="135">
        <v>75</v>
      </c>
      <c r="I92" s="136">
        <f t="shared" ref="I92:I94" si="47">H92/F92*100</f>
        <v>83.333333333333343</v>
      </c>
      <c r="J92" s="136">
        <f t="shared" ref="J92:J94" si="48">IF(H92/G92*100&gt;=100,100,IF(H92/G92*100&lt;100,H92/G92*100))</f>
        <v>92.592592592592595</v>
      </c>
      <c r="K92" s="138"/>
      <c r="L92" s="24"/>
      <c r="M92" s="494"/>
      <c r="O92" s="494"/>
      <c r="Q92" s="4" t="s">
        <v>382</v>
      </c>
    </row>
    <row r="93" spans="1:17" ht="68.150000000000006" customHeight="1" x14ac:dyDescent="0.35">
      <c r="A93" s="2" t="s">
        <v>215</v>
      </c>
      <c r="B93" s="414" t="s">
        <v>266</v>
      </c>
      <c r="C93" s="414"/>
      <c r="D93" s="49">
        <v>0.8</v>
      </c>
      <c r="E93" s="50" t="s">
        <v>433</v>
      </c>
      <c r="F93" s="135">
        <v>56</v>
      </c>
      <c r="G93" s="135">
        <f t="shared" si="46"/>
        <v>44.800000000000004</v>
      </c>
      <c r="H93" s="135">
        <v>56</v>
      </c>
      <c r="I93" s="136">
        <f>H93/F93*100</f>
        <v>100</v>
      </c>
      <c r="J93" s="136">
        <f t="shared" si="48"/>
        <v>100</v>
      </c>
      <c r="K93" s="138"/>
      <c r="L93" s="24"/>
      <c r="M93" s="494"/>
      <c r="N93" s="494"/>
      <c r="O93" s="494"/>
      <c r="Q93" s="4" t="s">
        <v>383</v>
      </c>
    </row>
    <row r="94" spans="1:17" ht="56.15" customHeight="1" x14ac:dyDescent="0.35">
      <c r="A94" s="2" t="s">
        <v>183</v>
      </c>
      <c r="B94" s="414" t="s">
        <v>267</v>
      </c>
      <c r="C94" s="414"/>
      <c r="D94" s="49">
        <v>0.86</v>
      </c>
      <c r="E94" s="50" t="s">
        <v>265</v>
      </c>
      <c r="F94" s="135">
        <v>3</v>
      </c>
      <c r="G94" s="135">
        <f t="shared" si="46"/>
        <v>2.58</v>
      </c>
      <c r="H94" s="135">
        <v>3</v>
      </c>
      <c r="I94" s="136">
        <f t="shared" si="47"/>
        <v>100</v>
      </c>
      <c r="J94" s="136">
        <f t="shared" si="48"/>
        <v>100</v>
      </c>
      <c r="K94" s="138"/>
      <c r="L94" s="24"/>
      <c r="M94" s="494"/>
      <c r="N94" s="494"/>
      <c r="O94" s="494"/>
      <c r="Q94" s="4" t="s">
        <v>384</v>
      </c>
    </row>
    <row r="95" spans="1:17" ht="83.15" customHeight="1" x14ac:dyDescent="0.35">
      <c r="A95" s="2" t="s">
        <v>245</v>
      </c>
      <c r="B95" s="414" t="s">
        <v>268</v>
      </c>
      <c r="C95" s="414"/>
      <c r="D95" s="51" t="s">
        <v>386</v>
      </c>
      <c r="E95" s="50" t="s">
        <v>269</v>
      </c>
      <c r="F95" s="135">
        <v>12</v>
      </c>
      <c r="G95" s="135">
        <f>12*F95</f>
        <v>144</v>
      </c>
      <c r="H95" s="135">
        <v>12</v>
      </c>
      <c r="I95" s="136">
        <f>H95/F95*100</f>
        <v>100</v>
      </c>
      <c r="J95" s="136">
        <f>H95/F95*100</f>
        <v>100</v>
      </c>
      <c r="K95" s="139"/>
      <c r="L95" s="24"/>
      <c r="M95" s="494"/>
      <c r="N95" s="494"/>
      <c r="O95" s="494"/>
      <c r="Q95" s="4" t="s">
        <v>385</v>
      </c>
    </row>
    <row r="96" spans="1:17" ht="17.5" x14ac:dyDescent="0.35">
      <c r="A96" s="424" t="s">
        <v>270</v>
      </c>
      <c r="B96" s="424"/>
      <c r="C96" s="424"/>
      <c r="D96" s="2"/>
      <c r="E96" s="50"/>
      <c r="F96" s="135"/>
      <c r="G96" s="135"/>
      <c r="H96" s="135"/>
      <c r="I96" s="136"/>
      <c r="J96" s="136"/>
      <c r="K96" s="275">
        <f>AVERAGE(J97:J101)</f>
        <v>84.160584567061207</v>
      </c>
      <c r="L96" s="24"/>
      <c r="M96" s="494"/>
      <c r="N96" s="494"/>
      <c r="O96" s="494"/>
      <c r="Q96" s="60"/>
    </row>
    <row r="97" spans="1:17" ht="44.15" customHeight="1" x14ac:dyDescent="0.35">
      <c r="A97" s="2" t="s">
        <v>169</v>
      </c>
      <c r="B97" s="414" t="s">
        <v>271</v>
      </c>
      <c r="C97" s="414"/>
      <c r="D97" s="49">
        <v>0.85</v>
      </c>
      <c r="E97" s="50" t="s">
        <v>265</v>
      </c>
      <c r="F97" s="135">
        <v>2542</v>
      </c>
      <c r="G97" s="135">
        <f t="shared" ref="G97:G99" si="49">D97*F97</f>
        <v>2160.6999999999998</v>
      </c>
      <c r="H97" s="135">
        <v>1669</v>
      </c>
      <c r="I97" s="136">
        <f t="shared" ref="I97:I99" si="50">H97/F97*100</f>
        <v>65.656963021243115</v>
      </c>
      <c r="J97" s="136">
        <f t="shared" ref="J97:J101" si="51">IF(H97/G97*100&gt;=100,100,IF(H97/G97*100&lt;100,H97/G97*100))</f>
        <v>77.243485907344848</v>
      </c>
      <c r="K97" s="138"/>
      <c r="L97" s="24"/>
      <c r="M97" s="504" t="s">
        <v>954</v>
      </c>
      <c r="N97" s="494"/>
      <c r="O97" s="494"/>
      <c r="Q97" s="4" t="s">
        <v>387</v>
      </c>
    </row>
    <row r="98" spans="1:17" ht="43.4" customHeight="1" x14ac:dyDescent="0.35">
      <c r="A98" s="2" t="s">
        <v>215</v>
      </c>
      <c r="B98" s="414" t="s">
        <v>272</v>
      </c>
      <c r="C98" s="414"/>
      <c r="D98" s="49">
        <v>0.84</v>
      </c>
      <c r="E98" s="50" t="s">
        <v>265</v>
      </c>
      <c r="F98" s="135">
        <v>1867</v>
      </c>
      <c r="G98" s="135">
        <f t="shared" si="49"/>
        <v>1568.28</v>
      </c>
      <c r="H98" s="135">
        <v>726</v>
      </c>
      <c r="I98" s="136">
        <f t="shared" si="50"/>
        <v>38.885913229780392</v>
      </c>
      <c r="J98" s="136">
        <f t="shared" si="51"/>
        <v>46.292753844976666</v>
      </c>
      <c r="K98" s="138"/>
      <c r="L98" s="24"/>
      <c r="M98" s="504" t="s">
        <v>955</v>
      </c>
      <c r="N98" s="502" t="s">
        <v>958</v>
      </c>
      <c r="O98" s="494"/>
      <c r="Q98" s="4" t="s">
        <v>388</v>
      </c>
    </row>
    <row r="99" spans="1:17" ht="43.4" customHeight="1" x14ac:dyDescent="0.35">
      <c r="A99" s="2" t="s">
        <v>183</v>
      </c>
      <c r="B99" s="414" t="s">
        <v>273</v>
      </c>
      <c r="C99" s="414"/>
      <c r="D99" s="49">
        <v>0.14000000000000001</v>
      </c>
      <c r="E99" s="50" t="s">
        <v>265</v>
      </c>
      <c r="F99" s="135">
        <v>1867</v>
      </c>
      <c r="G99" s="135">
        <f t="shared" si="49"/>
        <v>261.38000000000005</v>
      </c>
      <c r="H99" s="135">
        <v>160</v>
      </c>
      <c r="I99" s="136">
        <f t="shared" si="50"/>
        <v>8.56989823245849</v>
      </c>
      <c r="J99" s="136">
        <f>IF(I99&lt;=14,100,IF(I99&gt;14,0))</f>
        <v>100</v>
      </c>
      <c r="K99" s="138"/>
      <c r="L99" s="24"/>
      <c r="M99" s="494"/>
      <c r="N99" s="494"/>
      <c r="O99" s="494"/>
      <c r="Q99" s="217" t="s">
        <v>821</v>
      </c>
    </row>
    <row r="100" spans="1:17" ht="39" customHeight="1" x14ac:dyDescent="0.35">
      <c r="A100" s="2" t="s">
        <v>245</v>
      </c>
      <c r="B100" s="414" t="s">
        <v>274</v>
      </c>
      <c r="C100" s="414"/>
      <c r="D100" s="49">
        <v>0.5</v>
      </c>
      <c r="E100" s="50" t="s">
        <v>275</v>
      </c>
      <c r="F100" s="135">
        <v>241</v>
      </c>
      <c r="G100" s="135">
        <f>D100*F100</f>
        <v>120.5</v>
      </c>
      <c r="H100" s="135">
        <v>208</v>
      </c>
      <c r="I100" s="136">
        <f>H100/F100*100</f>
        <v>86.30705394190872</v>
      </c>
      <c r="J100" s="136">
        <f t="shared" si="51"/>
        <v>100</v>
      </c>
      <c r="K100" s="138"/>
      <c r="L100" s="24"/>
      <c r="M100" s="494"/>
      <c r="N100" s="494"/>
      <c r="O100" s="494"/>
      <c r="Q100" s="4" t="s">
        <v>389</v>
      </c>
    </row>
    <row r="101" spans="1:17" ht="59.15" customHeight="1" x14ac:dyDescent="0.35">
      <c r="A101" s="2" t="s">
        <v>249</v>
      </c>
      <c r="B101" s="414" t="s">
        <v>276</v>
      </c>
      <c r="C101" s="414"/>
      <c r="D101" s="49">
        <v>0.62</v>
      </c>
      <c r="E101" s="50" t="s">
        <v>275</v>
      </c>
      <c r="F101" s="135">
        <v>524</v>
      </c>
      <c r="G101" s="135">
        <f>D101*F101</f>
        <v>324.88</v>
      </c>
      <c r="H101" s="135">
        <v>316</v>
      </c>
      <c r="I101" s="136">
        <f>H101/F101*100</f>
        <v>60.305343511450381</v>
      </c>
      <c r="J101" s="136">
        <f t="shared" si="51"/>
        <v>97.266683082984486</v>
      </c>
      <c r="K101" s="138"/>
      <c r="L101" s="24"/>
      <c r="M101" s="494"/>
      <c r="N101" s="494"/>
      <c r="O101" s="494"/>
      <c r="Q101" s="4" t="s">
        <v>390</v>
      </c>
    </row>
    <row r="102" spans="1:17" ht="24" customHeight="1" x14ac:dyDescent="0.35">
      <c r="A102" s="399" t="s">
        <v>531</v>
      </c>
      <c r="B102" s="400"/>
      <c r="C102" s="400"/>
      <c r="D102" s="400"/>
      <c r="E102" s="401"/>
      <c r="F102" s="135"/>
      <c r="G102" s="135"/>
      <c r="H102" s="135"/>
      <c r="I102" s="136"/>
      <c r="J102" s="136"/>
      <c r="K102" s="138"/>
      <c r="L102" s="147">
        <f>AVERAGE(K103,K107,K110,K113,K120,K125,K128,K139,K149,L156,K180,L185)</f>
        <v>96.494531360651749</v>
      </c>
      <c r="M102" s="494"/>
      <c r="N102" s="494"/>
      <c r="O102" s="494"/>
      <c r="Q102" s="60"/>
    </row>
    <row r="103" spans="1:17" ht="17.5" x14ac:dyDescent="0.35">
      <c r="A103" s="424" t="s">
        <v>391</v>
      </c>
      <c r="B103" s="424"/>
      <c r="C103" s="424"/>
      <c r="D103" s="2"/>
      <c r="E103" s="50"/>
      <c r="F103" s="236"/>
      <c r="G103" s="236"/>
      <c r="H103" s="236"/>
      <c r="I103" s="237"/>
      <c r="J103" s="237"/>
      <c r="K103" s="278">
        <f>AVERAGE(J104:J106)</f>
        <v>100</v>
      </c>
      <c r="L103" s="135"/>
      <c r="M103" s="494"/>
      <c r="N103" s="494"/>
      <c r="O103" s="494"/>
      <c r="Q103" s="60"/>
    </row>
    <row r="104" spans="1:17" ht="28.4" customHeight="1" x14ac:dyDescent="0.35">
      <c r="A104" s="2" t="s">
        <v>169</v>
      </c>
      <c r="B104" s="433" t="s">
        <v>277</v>
      </c>
      <c r="C104" s="412"/>
      <c r="D104" s="49">
        <v>1</v>
      </c>
      <c r="E104" s="2" t="s">
        <v>265</v>
      </c>
      <c r="F104" s="236">
        <v>47</v>
      </c>
      <c r="G104" s="236">
        <f t="shared" ref="G104:G106" si="52">D104*F104</f>
        <v>47</v>
      </c>
      <c r="H104" s="236">
        <v>56</v>
      </c>
      <c r="I104" s="237">
        <f t="shared" ref="I104:I106" si="53">H104/F104*100</f>
        <v>119.14893617021276</v>
      </c>
      <c r="J104" s="237">
        <f t="shared" ref="J104:J106" si="54">IF(H104/G104*100&gt;=100,100,IF(H104/G104*100&lt;100,H104/G104*100))</f>
        <v>100</v>
      </c>
      <c r="K104" s="238"/>
      <c r="L104" s="135"/>
      <c r="M104" s="494"/>
      <c r="N104" s="494"/>
      <c r="O104" s="494"/>
      <c r="Q104" s="4" t="s">
        <v>392</v>
      </c>
    </row>
    <row r="105" spans="1:17" ht="38.15" customHeight="1" x14ac:dyDescent="0.35">
      <c r="A105" s="2" t="s">
        <v>176</v>
      </c>
      <c r="B105" s="433" t="s">
        <v>736</v>
      </c>
      <c r="C105" s="412"/>
      <c r="D105" s="49">
        <v>1</v>
      </c>
      <c r="E105" s="2" t="s">
        <v>265</v>
      </c>
      <c r="F105" s="236">
        <v>47</v>
      </c>
      <c r="G105" s="236">
        <f t="shared" si="52"/>
        <v>47</v>
      </c>
      <c r="H105" s="236">
        <v>56</v>
      </c>
      <c r="I105" s="237">
        <f t="shared" si="53"/>
        <v>119.14893617021276</v>
      </c>
      <c r="J105" s="237">
        <f t="shared" si="54"/>
        <v>100</v>
      </c>
      <c r="K105" s="238"/>
      <c r="L105" s="135"/>
      <c r="M105" s="494"/>
      <c r="N105" s="494"/>
      <c r="O105" s="494"/>
      <c r="Q105" s="4" t="s">
        <v>393</v>
      </c>
    </row>
    <row r="106" spans="1:17" ht="30" customHeight="1" x14ac:dyDescent="0.35">
      <c r="A106" s="2" t="s">
        <v>278</v>
      </c>
      <c r="B106" s="433" t="s">
        <v>279</v>
      </c>
      <c r="C106" s="412"/>
      <c r="D106" s="49">
        <v>1</v>
      </c>
      <c r="E106" s="2" t="s">
        <v>265</v>
      </c>
      <c r="F106" s="236">
        <v>47</v>
      </c>
      <c r="G106" s="236">
        <f t="shared" si="52"/>
        <v>47</v>
      </c>
      <c r="H106" s="236">
        <v>56</v>
      </c>
      <c r="I106" s="237">
        <f t="shared" si="53"/>
        <v>119.14893617021276</v>
      </c>
      <c r="J106" s="237">
        <f t="shared" si="54"/>
        <v>100</v>
      </c>
      <c r="K106" s="238"/>
      <c r="L106" s="135"/>
      <c r="M106" s="494"/>
      <c r="N106" s="494"/>
      <c r="O106" s="494"/>
      <c r="Q106" s="4" t="s">
        <v>394</v>
      </c>
    </row>
    <row r="107" spans="1:17" ht="26.5" customHeight="1" x14ac:dyDescent="0.35">
      <c r="A107" s="270" t="s">
        <v>737</v>
      </c>
      <c r="B107" s="47"/>
      <c r="C107" s="48"/>
      <c r="D107" s="2"/>
      <c r="E107" s="50"/>
      <c r="F107" s="236"/>
      <c r="G107" s="236"/>
      <c r="H107" s="236"/>
      <c r="I107" s="237"/>
      <c r="J107" s="237"/>
      <c r="K107" s="278">
        <f>AVERAGE(J108,J109)</f>
        <v>86.268939393939391</v>
      </c>
      <c r="L107" s="24"/>
      <c r="M107" s="512" t="s">
        <v>961</v>
      </c>
      <c r="N107" s="494"/>
      <c r="O107" s="513" t="s">
        <v>962</v>
      </c>
      <c r="P107" s="514"/>
      <c r="Q107" s="514"/>
    </row>
    <row r="108" spans="1:17" ht="17.5" x14ac:dyDescent="0.35">
      <c r="A108" s="249" t="s">
        <v>169</v>
      </c>
      <c r="B108" s="433" t="s">
        <v>738</v>
      </c>
      <c r="C108" s="412"/>
      <c r="D108" s="49">
        <v>1</v>
      </c>
      <c r="E108" s="50" t="s">
        <v>235</v>
      </c>
      <c r="F108" s="236">
        <v>528</v>
      </c>
      <c r="G108" s="236">
        <f t="shared" ref="G108:G109" si="55">D108*F108</f>
        <v>528</v>
      </c>
      <c r="H108" s="236">
        <v>383</v>
      </c>
      <c r="I108" s="237">
        <f t="shared" ref="I108:I112" si="56">H108/F108*100</f>
        <v>72.537878787878782</v>
      </c>
      <c r="J108" s="237">
        <f t="shared" ref="J108:J112" si="57">IF(H108/G108*100&gt;=100,100,IF(H108/G108*100&lt;100,H108/G108*100))</f>
        <v>72.537878787878782</v>
      </c>
      <c r="K108" s="238"/>
      <c r="L108" s="24"/>
      <c r="M108" s="494"/>
      <c r="N108" s="494"/>
      <c r="O108" s="494"/>
      <c r="Q108" s="43"/>
    </row>
    <row r="109" spans="1:17" ht="41.15" customHeight="1" x14ac:dyDescent="0.35">
      <c r="A109" s="2" t="s">
        <v>215</v>
      </c>
      <c r="B109" s="433" t="s">
        <v>739</v>
      </c>
      <c r="C109" s="412"/>
      <c r="D109" s="49">
        <v>1</v>
      </c>
      <c r="E109" s="50" t="s">
        <v>235</v>
      </c>
      <c r="F109" s="236">
        <v>6</v>
      </c>
      <c r="G109" s="236">
        <f t="shared" si="55"/>
        <v>6</v>
      </c>
      <c r="H109" s="236">
        <v>6</v>
      </c>
      <c r="I109" s="237">
        <f t="shared" si="56"/>
        <v>100</v>
      </c>
      <c r="J109" s="237">
        <f t="shared" si="57"/>
        <v>100</v>
      </c>
      <c r="K109" s="238"/>
      <c r="L109" s="24"/>
      <c r="M109" s="494"/>
      <c r="N109" s="494"/>
      <c r="O109" s="494"/>
      <c r="Q109" s="43" t="s">
        <v>395</v>
      </c>
    </row>
    <row r="110" spans="1:17" ht="17.5" x14ac:dyDescent="0.35">
      <c r="A110" s="434" t="s">
        <v>740</v>
      </c>
      <c r="B110" s="435"/>
      <c r="C110" s="435"/>
      <c r="D110" s="412"/>
      <c r="E110" s="50"/>
      <c r="F110" s="236"/>
      <c r="G110" s="236"/>
      <c r="H110" s="236"/>
      <c r="I110" s="237"/>
      <c r="J110" s="237"/>
      <c r="K110" s="278">
        <f>AVERAGE(J111,J112)</f>
        <v>100</v>
      </c>
      <c r="L110" s="24"/>
      <c r="M110" s="494"/>
      <c r="N110" s="494"/>
      <c r="O110" s="494"/>
      <c r="Q110" s="43"/>
    </row>
    <row r="111" spans="1:17" ht="39" customHeight="1" x14ac:dyDescent="0.35">
      <c r="A111" s="239" t="s">
        <v>169</v>
      </c>
      <c r="B111" s="433" t="s">
        <v>741</v>
      </c>
      <c r="C111" s="412"/>
      <c r="D111" s="240">
        <v>0.75</v>
      </c>
      <c r="E111" s="50" t="s">
        <v>742</v>
      </c>
      <c r="F111" s="236">
        <v>144</v>
      </c>
      <c r="G111" s="236">
        <f t="shared" ref="G111:G112" si="58">D111*F111</f>
        <v>108</v>
      </c>
      <c r="H111" s="236">
        <v>126</v>
      </c>
      <c r="I111" s="237">
        <f t="shared" si="56"/>
        <v>87.5</v>
      </c>
      <c r="J111" s="237">
        <f t="shared" si="57"/>
        <v>100</v>
      </c>
      <c r="K111" s="238"/>
      <c r="L111" s="24"/>
      <c r="M111" s="494"/>
      <c r="N111" s="494"/>
      <c r="O111" s="494"/>
      <c r="Q111" s="43"/>
    </row>
    <row r="112" spans="1:17" ht="38.15" customHeight="1" x14ac:dyDescent="0.35">
      <c r="A112" s="239" t="s">
        <v>215</v>
      </c>
      <c r="B112" s="433" t="s">
        <v>743</v>
      </c>
      <c r="C112" s="412"/>
      <c r="D112" s="240">
        <v>0.95</v>
      </c>
      <c r="E112" s="50" t="s">
        <v>742</v>
      </c>
      <c r="F112" s="236">
        <v>98</v>
      </c>
      <c r="G112" s="236">
        <f t="shared" si="58"/>
        <v>93.1</v>
      </c>
      <c r="H112" s="236">
        <v>126</v>
      </c>
      <c r="I112" s="237">
        <f t="shared" si="56"/>
        <v>128.57142857142858</v>
      </c>
      <c r="J112" s="237">
        <f t="shared" si="57"/>
        <v>100</v>
      </c>
      <c r="K112" s="238"/>
      <c r="L112" s="24"/>
      <c r="M112" s="494"/>
      <c r="N112" s="494"/>
      <c r="O112" s="494"/>
      <c r="Q112" s="43"/>
    </row>
    <row r="113" spans="1:17" ht="26.5" customHeight="1" x14ac:dyDescent="0.35">
      <c r="A113" s="434" t="s">
        <v>744</v>
      </c>
      <c r="B113" s="435"/>
      <c r="C113" s="412"/>
      <c r="D113" s="2"/>
      <c r="E113" s="50"/>
      <c r="F113" s="236"/>
      <c r="G113" s="236"/>
      <c r="H113" s="236"/>
      <c r="I113" s="237"/>
      <c r="J113" s="237"/>
      <c r="K113" s="278">
        <f>AVERAGE(J114:J119)</f>
        <v>100</v>
      </c>
      <c r="L113" s="24"/>
      <c r="M113" s="494"/>
      <c r="N113" s="494"/>
      <c r="O113" s="494"/>
      <c r="Q113" s="4"/>
    </row>
    <row r="114" spans="1:17" ht="35.15" customHeight="1" x14ac:dyDescent="0.35">
      <c r="A114" s="2" t="s">
        <v>224</v>
      </c>
      <c r="B114" s="433" t="s">
        <v>280</v>
      </c>
      <c r="C114" s="412"/>
      <c r="D114" s="253" t="s">
        <v>878</v>
      </c>
      <c r="E114" s="50" t="s">
        <v>431</v>
      </c>
      <c r="F114" s="236">
        <v>3</v>
      </c>
      <c r="G114" s="236">
        <f>80%*F114</f>
        <v>2.4000000000000004</v>
      </c>
      <c r="H114" s="236">
        <v>3</v>
      </c>
      <c r="I114" s="237">
        <f t="shared" ref="I114:I124" si="59">H114/F114*100</f>
        <v>100</v>
      </c>
      <c r="J114" s="237">
        <f t="shared" ref="J114:J124" si="60">IF(H114/G114*100&gt;=100,100,IF(H114/G114*100&lt;100,H114/G114*100))</f>
        <v>100</v>
      </c>
      <c r="K114" s="238"/>
      <c r="L114" s="24"/>
      <c r="M114" s="494"/>
      <c r="N114" s="494"/>
      <c r="O114" s="494"/>
      <c r="Q114" s="4" t="s">
        <v>396</v>
      </c>
    </row>
    <row r="115" spans="1:17" ht="40.4" customHeight="1" x14ac:dyDescent="0.35">
      <c r="A115" s="2" t="s">
        <v>215</v>
      </c>
      <c r="B115" s="433" t="s">
        <v>281</v>
      </c>
      <c r="C115" s="412"/>
      <c r="D115" s="253" t="s">
        <v>879</v>
      </c>
      <c r="E115" s="50" t="s">
        <v>431</v>
      </c>
      <c r="F115" s="236">
        <v>2</v>
      </c>
      <c r="G115" s="236">
        <f>90%*F115</f>
        <v>1.8</v>
      </c>
      <c r="H115" s="236">
        <v>2</v>
      </c>
      <c r="I115" s="237">
        <f t="shared" ref="I115" si="61">H115/F115*100</f>
        <v>100</v>
      </c>
      <c r="J115" s="237">
        <f t="shared" ref="J115" si="62">IF(H115/G115*100&gt;=100,100,IF(H115/G115*100&lt;100,H115/G115*100))</f>
        <v>100</v>
      </c>
      <c r="K115" s="238"/>
      <c r="L115" s="24"/>
      <c r="M115" s="494"/>
      <c r="N115" s="494"/>
      <c r="O115" s="494"/>
      <c r="Q115" s="4" t="s">
        <v>397</v>
      </c>
    </row>
    <row r="116" spans="1:17" ht="83.25" customHeight="1" x14ac:dyDescent="0.35">
      <c r="A116" s="2" t="s">
        <v>183</v>
      </c>
      <c r="B116" s="433" t="s">
        <v>282</v>
      </c>
      <c r="C116" s="412"/>
      <c r="D116" s="253" t="s">
        <v>880</v>
      </c>
      <c r="E116" s="50" t="s">
        <v>431</v>
      </c>
      <c r="F116" s="236">
        <v>24</v>
      </c>
      <c r="G116" s="236">
        <f>95%*F116</f>
        <v>22.799999999999997</v>
      </c>
      <c r="H116" s="236">
        <v>24</v>
      </c>
      <c r="I116" s="237">
        <f t="shared" si="59"/>
        <v>100</v>
      </c>
      <c r="J116" s="237">
        <f t="shared" si="60"/>
        <v>100</v>
      </c>
      <c r="K116" s="238"/>
      <c r="L116" s="24"/>
      <c r="M116" s="494"/>
      <c r="N116" s="494"/>
      <c r="O116" s="494"/>
      <c r="Q116" s="4" t="s">
        <v>398</v>
      </c>
    </row>
    <row r="117" spans="1:17" ht="41.15" customHeight="1" x14ac:dyDescent="0.35">
      <c r="A117" s="2" t="s">
        <v>254</v>
      </c>
      <c r="B117" s="433" t="s">
        <v>283</v>
      </c>
      <c r="C117" s="412"/>
      <c r="D117" s="253" t="s">
        <v>880</v>
      </c>
      <c r="E117" s="50" t="s">
        <v>431</v>
      </c>
      <c r="F117" s="236">
        <v>220</v>
      </c>
      <c r="G117" s="236">
        <f>95%*F117</f>
        <v>209</v>
      </c>
      <c r="H117" s="236">
        <v>280</v>
      </c>
      <c r="I117" s="237">
        <f t="shared" si="59"/>
        <v>127.27272727272727</v>
      </c>
      <c r="J117" s="237">
        <f t="shared" si="60"/>
        <v>100</v>
      </c>
      <c r="K117" s="238"/>
      <c r="L117" s="24"/>
      <c r="M117" s="494"/>
      <c r="N117" s="494"/>
      <c r="O117" s="494"/>
      <c r="Q117" s="4" t="s">
        <v>399</v>
      </c>
    </row>
    <row r="118" spans="1:17" ht="101.15" customHeight="1" x14ac:dyDescent="0.35">
      <c r="A118" s="2" t="s">
        <v>810</v>
      </c>
      <c r="B118" s="433" t="s">
        <v>284</v>
      </c>
      <c r="C118" s="412"/>
      <c r="D118" s="242">
        <v>1</v>
      </c>
      <c r="E118" s="50" t="s">
        <v>434</v>
      </c>
      <c r="F118" s="236">
        <v>25</v>
      </c>
      <c r="G118" s="236">
        <f>D118*F118</f>
        <v>25</v>
      </c>
      <c r="H118" s="236">
        <v>28</v>
      </c>
      <c r="I118" s="237">
        <f t="shared" si="59"/>
        <v>112.00000000000001</v>
      </c>
      <c r="J118" s="237">
        <f t="shared" si="60"/>
        <v>100</v>
      </c>
      <c r="K118" s="238"/>
      <c r="L118" s="24"/>
      <c r="M118" s="494"/>
      <c r="N118" s="494"/>
      <c r="O118" s="494"/>
      <c r="Q118" s="4" t="s">
        <v>746</v>
      </c>
    </row>
    <row r="119" spans="1:17" ht="64.400000000000006" customHeight="1" x14ac:dyDescent="0.35">
      <c r="A119" s="2" t="s">
        <v>296</v>
      </c>
      <c r="B119" s="433" t="s">
        <v>747</v>
      </c>
      <c r="C119" s="412"/>
      <c r="D119" s="242">
        <v>1</v>
      </c>
      <c r="E119" s="50" t="s">
        <v>748</v>
      </c>
      <c r="F119" s="236">
        <v>12</v>
      </c>
      <c r="G119" s="236">
        <f>D119*F119</f>
        <v>12</v>
      </c>
      <c r="H119" s="236">
        <v>12</v>
      </c>
      <c r="I119" s="237">
        <f t="shared" si="59"/>
        <v>100</v>
      </c>
      <c r="J119" s="237">
        <f t="shared" si="60"/>
        <v>100</v>
      </c>
      <c r="K119" s="238"/>
      <c r="L119" s="24"/>
      <c r="M119" s="494"/>
      <c r="N119" s="494"/>
      <c r="O119" s="494"/>
      <c r="Q119" s="4" t="s">
        <v>749</v>
      </c>
    </row>
    <row r="120" spans="1:17" ht="23.5" customHeight="1" x14ac:dyDescent="0.35">
      <c r="A120" s="434" t="s">
        <v>750</v>
      </c>
      <c r="B120" s="435"/>
      <c r="C120" s="435"/>
      <c r="D120" s="412"/>
      <c r="E120" s="50"/>
      <c r="F120" s="243"/>
      <c r="G120" s="243"/>
      <c r="H120" s="236"/>
      <c r="I120" s="237"/>
      <c r="J120" s="237"/>
      <c r="K120" s="278">
        <f>AVERAGE(J121:J124)</f>
        <v>100</v>
      </c>
      <c r="L120" s="24"/>
      <c r="M120" s="494"/>
      <c r="N120" s="494"/>
      <c r="O120" s="494"/>
      <c r="Q120" s="60"/>
    </row>
    <row r="121" spans="1:17" ht="76" customHeight="1" x14ac:dyDescent="0.35">
      <c r="A121" s="2" t="s">
        <v>169</v>
      </c>
      <c r="B121" s="433" t="s">
        <v>853</v>
      </c>
      <c r="C121" s="412"/>
      <c r="D121" s="285">
        <v>0.9</v>
      </c>
      <c r="E121" s="50" t="s">
        <v>431</v>
      </c>
      <c r="F121" s="236">
        <v>16</v>
      </c>
      <c r="G121" s="236">
        <f t="shared" ref="G121:G124" si="63">D121*F121</f>
        <v>14.4</v>
      </c>
      <c r="H121" s="236">
        <v>23</v>
      </c>
      <c r="I121" s="237">
        <f t="shared" si="59"/>
        <v>143.75</v>
      </c>
      <c r="J121" s="237">
        <f t="shared" si="60"/>
        <v>100</v>
      </c>
      <c r="K121" s="238"/>
      <c r="L121" s="24"/>
      <c r="M121" s="494"/>
      <c r="N121" s="494"/>
      <c r="O121" s="494"/>
      <c r="Q121" s="282" t="s">
        <v>849</v>
      </c>
    </row>
    <row r="122" spans="1:17" ht="148.5" customHeight="1" x14ac:dyDescent="0.35">
      <c r="A122" s="2" t="s">
        <v>176</v>
      </c>
      <c r="B122" s="433" t="s">
        <v>285</v>
      </c>
      <c r="C122" s="412"/>
      <c r="D122" s="286">
        <v>1</v>
      </c>
      <c r="E122" s="50" t="s">
        <v>431</v>
      </c>
      <c r="F122" s="236">
        <v>410</v>
      </c>
      <c r="G122" s="236">
        <f t="shared" si="63"/>
        <v>410</v>
      </c>
      <c r="H122" s="236">
        <v>410</v>
      </c>
      <c r="I122" s="237">
        <f t="shared" si="59"/>
        <v>100</v>
      </c>
      <c r="J122" s="237">
        <f t="shared" si="60"/>
        <v>100</v>
      </c>
      <c r="K122" s="238"/>
      <c r="L122" s="24"/>
      <c r="M122" s="494"/>
      <c r="N122" s="494"/>
      <c r="O122" s="494"/>
      <c r="Q122" s="284" t="s">
        <v>850</v>
      </c>
    </row>
    <row r="123" spans="1:17" ht="88" customHeight="1" x14ac:dyDescent="0.35">
      <c r="A123" s="2">
        <v>3</v>
      </c>
      <c r="B123" s="433" t="s">
        <v>286</v>
      </c>
      <c r="C123" s="412"/>
      <c r="D123" s="285">
        <v>0.9</v>
      </c>
      <c r="E123" s="50" t="s">
        <v>431</v>
      </c>
      <c r="F123" s="236">
        <v>20</v>
      </c>
      <c r="G123" s="236">
        <f t="shared" si="63"/>
        <v>18</v>
      </c>
      <c r="H123" s="236">
        <v>55</v>
      </c>
      <c r="I123" s="237">
        <f t="shared" si="59"/>
        <v>275</v>
      </c>
      <c r="J123" s="237">
        <f t="shared" si="60"/>
        <v>100</v>
      </c>
      <c r="K123" s="238"/>
      <c r="L123" s="24"/>
      <c r="M123" s="494"/>
      <c r="N123" s="494"/>
      <c r="O123" s="494"/>
      <c r="Q123" s="283" t="s">
        <v>851</v>
      </c>
    </row>
    <row r="124" spans="1:17" ht="89.5" customHeight="1" x14ac:dyDescent="0.35">
      <c r="A124" s="2">
        <v>4</v>
      </c>
      <c r="B124" s="433" t="s">
        <v>751</v>
      </c>
      <c r="C124" s="412"/>
      <c r="D124" s="285">
        <v>0.9</v>
      </c>
      <c r="E124" s="50" t="s">
        <v>431</v>
      </c>
      <c r="F124" s="236">
        <v>16</v>
      </c>
      <c r="G124" s="236">
        <f t="shared" si="63"/>
        <v>14.4</v>
      </c>
      <c r="H124" s="236">
        <v>23</v>
      </c>
      <c r="I124" s="237">
        <f t="shared" si="59"/>
        <v>143.75</v>
      </c>
      <c r="J124" s="237">
        <f t="shared" si="60"/>
        <v>100</v>
      </c>
      <c r="K124" s="238"/>
      <c r="L124" s="24"/>
      <c r="M124" s="494"/>
      <c r="N124" s="494"/>
      <c r="O124" s="494"/>
      <c r="Q124" s="283" t="s">
        <v>852</v>
      </c>
    </row>
    <row r="125" spans="1:17" ht="32.15" customHeight="1" x14ac:dyDescent="0.35">
      <c r="A125" s="44" t="s">
        <v>828</v>
      </c>
      <c r="B125" s="88"/>
      <c r="C125" s="88"/>
      <c r="D125" s="2"/>
      <c r="E125" s="50"/>
      <c r="F125" s="243"/>
      <c r="G125" s="244"/>
      <c r="H125" s="236"/>
      <c r="I125" s="237"/>
      <c r="J125" s="237"/>
      <c r="K125" s="278">
        <f>AVERAGE(J126:J127)</f>
        <v>100</v>
      </c>
      <c r="L125" s="24"/>
      <c r="M125" s="494"/>
      <c r="N125" s="494"/>
      <c r="O125" s="494"/>
      <c r="Q125" s="60"/>
    </row>
    <row r="126" spans="1:17" ht="36" customHeight="1" x14ac:dyDescent="0.35">
      <c r="A126" s="2" t="s">
        <v>224</v>
      </c>
      <c r="B126" s="433" t="s">
        <v>287</v>
      </c>
      <c r="C126" s="412"/>
      <c r="D126" s="242">
        <v>1</v>
      </c>
      <c r="E126" s="50" t="s">
        <v>903</v>
      </c>
      <c r="F126" s="236">
        <v>8</v>
      </c>
      <c r="G126" s="236">
        <f t="shared" ref="G126:G127" si="64">D126*F126</f>
        <v>8</v>
      </c>
      <c r="H126" s="236">
        <v>8</v>
      </c>
      <c r="I126" s="237">
        <f t="shared" ref="I126:I127" si="65">H126/F126*100</f>
        <v>100</v>
      </c>
      <c r="J126" s="237">
        <f t="shared" ref="J126:J127" si="66">IF(H126/G126*100&gt;=100,100,IF(H126/G126*100&lt;100,H126/G126*100))</f>
        <v>100</v>
      </c>
      <c r="K126" s="238"/>
      <c r="L126" s="24"/>
      <c r="M126" s="494"/>
      <c r="N126" s="494"/>
      <c r="O126" s="494"/>
      <c r="Q126" s="4" t="s">
        <v>400</v>
      </c>
    </row>
    <row r="127" spans="1:17" ht="150" x14ac:dyDescent="0.35">
      <c r="A127" s="2" t="s">
        <v>176</v>
      </c>
      <c r="B127" s="433" t="s">
        <v>752</v>
      </c>
      <c r="C127" s="412"/>
      <c r="D127" s="242">
        <v>1</v>
      </c>
      <c r="E127" s="50" t="s">
        <v>431</v>
      </c>
      <c r="F127" s="236">
        <v>550</v>
      </c>
      <c r="G127" s="236">
        <f t="shared" si="64"/>
        <v>550</v>
      </c>
      <c r="H127" s="236">
        <v>598</v>
      </c>
      <c r="I127" s="237">
        <f t="shared" si="65"/>
        <v>108.72727272727272</v>
      </c>
      <c r="J127" s="237">
        <f t="shared" si="66"/>
        <v>100</v>
      </c>
      <c r="K127" s="238"/>
      <c r="L127" s="24"/>
      <c r="M127" s="494"/>
      <c r="N127" s="494"/>
      <c r="O127" s="494"/>
      <c r="Q127" s="4" t="s">
        <v>401</v>
      </c>
    </row>
    <row r="128" spans="1:17" ht="40.4" customHeight="1" x14ac:dyDescent="0.35">
      <c r="A128" s="44" t="s">
        <v>829</v>
      </c>
      <c r="B128" s="88"/>
      <c r="C128" s="88"/>
      <c r="D128" s="2"/>
      <c r="E128" s="50"/>
      <c r="F128" s="243"/>
      <c r="G128" s="244"/>
      <c r="H128" s="236"/>
      <c r="I128" s="237"/>
      <c r="J128" s="237"/>
      <c r="K128" s="278">
        <f>AVERAGE(J129:J130)</f>
        <v>100</v>
      </c>
      <c r="L128" s="24"/>
      <c r="M128" s="494"/>
      <c r="N128" s="494"/>
      <c r="O128" s="494"/>
      <c r="Q128" s="4"/>
    </row>
    <row r="129" spans="1:18" ht="53.15" customHeight="1" x14ac:dyDescent="0.35">
      <c r="A129" s="2" t="s">
        <v>224</v>
      </c>
      <c r="B129" s="438" t="s">
        <v>288</v>
      </c>
      <c r="C129" s="439"/>
      <c r="D129" s="241" t="s">
        <v>289</v>
      </c>
      <c r="E129" s="50" t="s">
        <v>435</v>
      </c>
      <c r="F129" s="236">
        <v>3368</v>
      </c>
      <c r="G129" s="236">
        <f>95%*F129</f>
        <v>3199.6</v>
      </c>
      <c r="H129" s="236">
        <v>3638</v>
      </c>
      <c r="I129" s="237">
        <f t="shared" ref="I129:I130" si="67">H129/F129*100</f>
        <v>108.0166270783848</v>
      </c>
      <c r="J129" s="237">
        <f t="shared" ref="J129:J130" si="68">IF(H129/G129*100&gt;=100,100,IF(H129/G129*100&lt;100,H129/G129*100))</f>
        <v>100</v>
      </c>
      <c r="K129" s="238"/>
      <c r="L129" s="24"/>
      <c r="M129" s="494"/>
      <c r="N129" s="494"/>
      <c r="O129" s="494"/>
      <c r="Q129" s="4" t="s">
        <v>402</v>
      </c>
    </row>
    <row r="130" spans="1:18" ht="39" customHeight="1" x14ac:dyDescent="0.35">
      <c r="A130" s="2" t="s">
        <v>176</v>
      </c>
      <c r="B130" s="440" t="s">
        <v>290</v>
      </c>
      <c r="C130" s="441"/>
      <c r="D130" s="242">
        <v>1</v>
      </c>
      <c r="E130" s="50" t="s">
        <v>431</v>
      </c>
      <c r="F130" s="236">
        <v>7</v>
      </c>
      <c r="G130" s="236">
        <f t="shared" ref="G130" si="69">D130*F130</f>
        <v>7</v>
      </c>
      <c r="H130" s="236">
        <v>50</v>
      </c>
      <c r="I130" s="237">
        <f t="shared" si="67"/>
        <v>714.28571428571433</v>
      </c>
      <c r="J130" s="237">
        <f t="shared" si="68"/>
        <v>100</v>
      </c>
      <c r="K130" s="238"/>
      <c r="L130" s="24"/>
      <c r="M130" s="494"/>
      <c r="N130" s="494"/>
      <c r="O130" s="494"/>
      <c r="Q130" s="4" t="s">
        <v>403</v>
      </c>
    </row>
    <row r="131" spans="1:18" ht="17.5" x14ac:dyDescent="0.35">
      <c r="A131" s="44" t="s">
        <v>830</v>
      </c>
      <c r="B131" s="88"/>
      <c r="C131" s="88"/>
      <c r="D131" s="2"/>
      <c r="E131" s="50"/>
      <c r="F131" s="243"/>
      <c r="G131" s="244"/>
      <c r="H131" s="236"/>
      <c r="I131" s="237"/>
      <c r="J131" s="237"/>
      <c r="K131" s="278">
        <f>AVERAGE(J132:J135)</f>
        <v>0</v>
      </c>
      <c r="L131" s="24"/>
      <c r="M131" s="494"/>
      <c r="N131" s="494"/>
      <c r="O131" s="494"/>
      <c r="Q131" s="60"/>
    </row>
    <row r="132" spans="1:18" ht="36" customHeight="1" x14ac:dyDescent="0.35">
      <c r="A132" s="245" t="s">
        <v>169</v>
      </c>
      <c r="B132" s="433" t="s">
        <v>291</v>
      </c>
      <c r="C132" s="412"/>
      <c r="D132" s="242">
        <v>1</v>
      </c>
      <c r="E132" s="50" t="s">
        <v>431</v>
      </c>
      <c r="F132" s="236">
        <v>0</v>
      </c>
      <c r="G132" s="236">
        <f t="shared" ref="G132:G135" si="70">D132*F132</f>
        <v>0</v>
      </c>
      <c r="H132" s="236">
        <v>0</v>
      </c>
      <c r="I132" s="236">
        <v>0</v>
      </c>
      <c r="J132" s="236">
        <v>0</v>
      </c>
      <c r="K132" s="238"/>
      <c r="L132" s="24"/>
      <c r="M132" s="494"/>
      <c r="N132" s="494"/>
      <c r="O132" s="494"/>
      <c r="Q132" s="4" t="s">
        <v>404</v>
      </c>
    </row>
    <row r="133" spans="1:18" ht="46.4" customHeight="1" x14ac:dyDescent="0.35">
      <c r="A133" s="245" t="s">
        <v>215</v>
      </c>
      <c r="B133" s="433" t="s">
        <v>292</v>
      </c>
      <c r="C133" s="412"/>
      <c r="D133" s="242">
        <v>1</v>
      </c>
      <c r="E133" s="50" t="s">
        <v>431</v>
      </c>
      <c r="F133" s="236">
        <v>0</v>
      </c>
      <c r="G133" s="236">
        <f t="shared" si="70"/>
        <v>0</v>
      </c>
      <c r="H133" s="236">
        <v>0</v>
      </c>
      <c r="I133" s="236">
        <v>0</v>
      </c>
      <c r="J133" s="236">
        <v>0</v>
      </c>
      <c r="K133" s="238"/>
      <c r="L133" s="24"/>
      <c r="M133" s="494"/>
      <c r="N133" s="494"/>
      <c r="O133" s="494"/>
      <c r="Q133" s="4" t="s">
        <v>405</v>
      </c>
    </row>
    <row r="134" spans="1:18" ht="17.5" x14ac:dyDescent="0.35">
      <c r="A134" s="245" t="s">
        <v>183</v>
      </c>
      <c r="B134" s="433" t="s">
        <v>293</v>
      </c>
      <c r="C134" s="412"/>
      <c r="D134" s="242">
        <v>1</v>
      </c>
      <c r="E134" s="50" t="s">
        <v>431</v>
      </c>
      <c r="F134" s="236">
        <v>0</v>
      </c>
      <c r="G134" s="236">
        <f t="shared" si="70"/>
        <v>0</v>
      </c>
      <c r="H134" s="236">
        <v>0</v>
      </c>
      <c r="I134" s="236">
        <v>0</v>
      </c>
      <c r="J134" s="236">
        <v>0</v>
      </c>
      <c r="K134" s="238"/>
      <c r="L134" s="24"/>
      <c r="M134" s="494"/>
      <c r="N134" s="494"/>
      <c r="O134" s="494"/>
      <c r="Q134" s="4"/>
    </row>
    <row r="135" spans="1:18" ht="35.15" customHeight="1" x14ac:dyDescent="0.35">
      <c r="A135" s="246" t="s">
        <v>245</v>
      </c>
      <c r="B135" s="433" t="s">
        <v>753</v>
      </c>
      <c r="C135" s="412"/>
      <c r="D135" s="242">
        <v>1</v>
      </c>
      <c r="E135" s="50" t="s">
        <v>431</v>
      </c>
      <c r="F135" s="236">
        <v>0</v>
      </c>
      <c r="G135" s="236">
        <f t="shared" si="70"/>
        <v>0</v>
      </c>
      <c r="H135" s="236">
        <v>0</v>
      </c>
      <c r="I135" s="236">
        <v>0</v>
      </c>
      <c r="J135" s="236">
        <v>0</v>
      </c>
      <c r="K135" s="238"/>
      <c r="L135" s="24"/>
      <c r="M135" s="494"/>
      <c r="N135" s="494"/>
      <c r="O135" s="494"/>
      <c r="Q135" s="4" t="s">
        <v>406</v>
      </c>
    </row>
    <row r="136" spans="1:18" ht="27" customHeight="1" x14ac:dyDescent="0.35">
      <c r="A136" s="270" t="s">
        <v>831</v>
      </c>
      <c r="B136" s="47"/>
      <c r="C136" s="48"/>
      <c r="D136" s="2"/>
      <c r="E136" s="50"/>
      <c r="F136" s="247"/>
      <c r="G136" s="244"/>
      <c r="H136" s="236"/>
      <c r="I136" s="236">
        <v>0</v>
      </c>
      <c r="J136" s="236">
        <v>0</v>
      </c>
      <c r="K136" s="279">
        <f>AVERAGE(J137:J138)</f>
        <v>0</v>
      </c>
      <c r="L136" s="24"/>
      <c r="M136" s="494"/>
      <c r="N136" s="494"/>
      <c r="O136" s="494"/>
      <c r="Q136" s="52"/>
    </row>
    <row r="137" spans="1:18" ht="39" customHeight="1" x14ac:dyDescent="0.35">
      <c r="A137" s="245" t="s">
        <v>169</v>
      </c>
      <c r="B137" s="433" t="s">
        <v>294</v>
      </c>
      <c r="C137" s="412"/>
      <c r="D137" s="242">
        <v>1</v>
      </c>
      <c r="E137" s="50" t="s">
        <v>431</v>
      </c>
      <c r="F137" s="236">
        <v>0</v>
      </c>
      <c r="G137" s="236">
        <f t="shared" ref="G137:G138" si="71">D137*F137</f>
        <v>0</v>
      </c>
      <c r="H137" s="236">
        <v>0</v>
      </c>
      <c r="I137" s="236">
        <v>0</v>
      </c>
      <c r="J137" s="236">
        <v>0</v>
      </c>
      <c r="K137" s="248"/>
      <c r="L137" s="24"/>
      <c r="M137" s="494"/>
      <c r="N137" s="494"/>
      <c r="O137" s="494"/>
      <c r="Q137" s="4" t="s">
        <v>407</v>
      </c>
    </row>
    <row r="138" spans="1:18" ht="40.4" customHeight="1" x14ac:dyDescent="0.35">
      <c r="A138" s="245" t="s">
        <v>215</v>
      </c>
      <c r="B138" s="433" t="s">
        <v>295</v>
      </c>
      <c r="C138" s="412"/>
      <c r="D138" s="242">
        <v>1</v>
      </c>
      <c r="E138" s="50" t="s">
        <v>431</v>
      </c>
      <c r="F138" s="236">
        <v>0</v>
      </c>
      <c r="G138" s="236">
        <f t="shared" si="71"/>
        <v>0</v>
      </c>
      <c r="H138" s="236">
        <v>0</v>
      </c>
      <c r="I138" s="236">
        <v>0</v>
      </c>
      <c r="J138" s="236">
        <v>0</v>
      </c>
      <c r="K138" s="248"/>
      <c r="L138" s="24"/>
      <c r="M138" s="494"/>
      <c r="N138" s="494"/>
      <c r="O138" s="494"/>
      <c r="Q138" s="4" t="s">
        <v>408</v>
      </c>
    </row>
    <row r="139" spans="1:18" ht="40.4" customHeight="1" x14ac:dyDescent="0.35">
      <c r="A139" s="430" t="s">
        <v>765</v>
      </c>
      <c r="B139" s="431"/>
      <c r="C139" s="431"/>
      <c r="D139" s="432"/>
      <c r="E139" s="50"/>
      <c r="F139" s="236"/>
      <c r="G139" s="236"/>
      <c r="H139" s="236"/>
      <c r="I139" s="237"/>
      <c r="J139" s="237"/>
      <c r="K139" s="279">
        <f>AVERAGE(J140:J148)</f>
        <v>87.717640320733096</v>
      </c>
      <c r="L139" s="24"/>
      <c r="M139" s="515" t="s">
        <v>963</v>
      </c>
      <c r="N139" s="517" t="s">
        <v>964</v>
      </c>
      <c r="O139" s="518" t="s">
        <v>968</v>
      </c>
      <c r="P139" s="506"/>
      <c r="Q139" s="518"/>
      <c r="R139" s="518"/>
    </row>
    <row r="140" spans="1:18" ht="40.4" customHeight="1" x14ac:dyDescent="0.35">
      <c r="A140" s="250" t="s">
        <v>169</v>
      </c>
      <c r="B140" s="409" t="s">
        <v>766</v>
      </c>
      <c r="C140" s="410"/>
      <c r="D140" s="251">
        <v>1</v>
      </c>
      <c r="E140" s="50" t="s">
        <v>778</v>
      </c>
      <c r="F140" s="135">
        <v>485</v>
      </c>
      <c r="G140" s="135">
        <f t="shared" ref="G140:G145" si="72">D140*F140</f>
        <v>485</v>
      </c>
      <c r="H140" s="135">
        <v>373</v>
      </c>
      <c r="I140" s="136">
        <f t="shared" ref="I140:I145" si="73">H140/F140*100</f>
        <v>76.907216494845372</v>
      </c>
      <c r="J140" s="136">
        <f t="shared" ref="J140:J145" si="74">IF(H140/G140*100&gt;=100,100,IF(H140/G140*100&lt;100,H140/G140*100))</f>
        <v>76.907216494845372</v>
      </c>
      <c r="K140" s="248"/>
      <c r="L140" s="24"/>
      <c r="M140" s="516"/>
      <c r="N140" s="517" t="s">
        <v>965</v>
      </c>
      <c r="O140" s="519" t="s">
        <v>969</v>
      </c>
      <c r="P140" s="518"/>
      <c r="Q140" s="518"/>
      <c r="R140" s="518"/>
    </row>
    <row r="141" spans="1:18" ht="40.4" customHeight="1" x14ac:dyDescent="0.35">
      <c r="A141" s="250" t="s">
        <v>215</v>
      </c>
      <c r="B141" s="409" t="s">
        <v>767</v>
      </c>
      <c r="C141" s="410"/>
      <c r="D141" s="251">
        <v>1</v>
      </c>
      <c r="E141" s="50" t="s">
        <v>228</v>
      </c>
      <c r="F141" s="135">
        <v>8</v>
      </c>
      <c r="G141" s="135">
        <f t="shared" si="72"/>
        <v>8</v>
      </c>
      <c r="H141" s="135">
        <v>5</v>
      </c>
      <c r="I141" s="136">
        <f t="shared" si="73"/>
        <v>62.5</v>
      </c>
      <c r="J141" s="136">
        <f t="shared" si="74"/>
        <v>62.5</v>
      </c>
      <c r="K141" s="248"/>
      <c r="L141" s="24"/>
      <c r="M141" s="516"/>
      <c r="N141" s="517" t="s">
        <v>966</v>
      </c>
      <c r="O141" s="518" t="s">
        <v>970</v>
      </c>
      <c r="P141" s="506"/>
      <c r="Q141" s="506"/>
      <c r="R141" s="506"/>
    </row>
    <row r="142" spans="1:18" ht="40.4" customHeight="1" x14ac:dyDescent="0.35">
      <c r="A142" s="250" t="s">
        <v>183</v>
      </c>
      <c r="B142" s="409" t="s">
        <v>768</v>
      </c>
      <c r="C142" s="410"/>
      <c r="D142" s="251">
        <v>1</v>
      </c>
      <c r="E142" s="50" t="s">
        <v>778</v>
      </c>
      <c r="F142" s="135">
        <v>485</v>
      </c>
      <c r="G142" s="135">
        <f t="shared" si="72"/>
        <v>485</v>
      </c>
      <c r="H142" s="135">
        <v>364</v>
      </c>
      <c r="I142" s="136">
        <f t="shared" si="73"/>
        <v>75.051546391752581</v>
      </c>
      <c r="J142" s="136">
        <f t="shared" si="74"/>
        <v>75.051546391752581</v>
      </c>
      <c r="K142" s="248"/>
      <c r="L142" s="24"/>
      <c r="M142" s="516"/>
      <c r="N142" s="517" t="s">
        <v>967</v>
      </c>
      <c r="O142" s="518" t="s">
        <v>971</v>
      </c>
      <c r="P142" s="506"/>
      <c r="Q142" s="506"/>
      <c r="R142" s="518"/>
    </row>
    <row r="143" spans="1:18" ht="40.4" customHeight="1" x14ac:dyDescent="0.35">
      <c r="A143" s="250" t="s">
        <v>245</v>
      </c>
      <c r="B143" s="409" t="s">
        <v>769</v>
      </c>
      <c r="C143" s="410"/>
      <c r="D143" s="251">
        <v>1</v>
      </c>
      <c r="E143" s="50" t="s">
        <v>434</v>
      </c>
      <c r="F143" s="135">
        <v>411</v>
      </c>
      <c r="G143" s="135">
        <f t="shared" si="72"/>
        <v>411</v>
      </c>
      <c r="H143" s="135">
        <v>434</v>
      </c>
      <c r="I143" s="136">
        <f t="shared" si="73"/>
        <v>105.59610705596107</v>
      </c>
      <c r="J143" s="136">
        <f t="shared" si="74"/>
        <v>100</v>
      </c>
      <c r="K143" s="248"/>
      <c r="L143" s="24"/>
      <c r="M143" s="516"/>
      <c r="N143" s="494"/>
      <c r="O143" s="494"/>
      <c r="Q143" s="252" t="s">
        <v>774</v>
      </c>
    </row>
    <row r="144" spans="1:18" ht="40.4" customHeight="1" x14ac:dyDescent="0.35">
      <c r="A144" s="250" t="s">
        <v>249</v>
      </c>
      <c r="B144" s="409" t="s">
        <v>770</v>
      </c>
      <c r="C144" s="410"/>
      <c r="D144" s="251">
        <v>0.9</v>
      </c>
      <c r="E144" s="50" t="s">
        <v>434</v>
      </c>
      <c r="F144" s="135">
        <v>444</v>
      </c>
      <c r="G144" s="363">
        <f t="shared" si="72"/>
        <v>399.6</v>
      </c>
      <c r="H144" s="135">
        <v>431</v>
      </c>
      <c r="I144" s="136">
        <v>0</v>
      </c>
      <c r="J144" s="136">
        <f t="shared" si="74"/>
        <v>100</v>
      </c>
      <c r="K144" s="248"/>
      <c r="L144" s="24"/>
      <c r="M144" s="494"/>
      <c r="N144" s="494"/>
      <c r="O144" s="494"/>
      <c r="Q144" s="252" t="s">
        <v>775</v>
      </c>
    </row>
    <row r="145" spans="1:17" ht="42" customHeight="1" x14ac:dyDescent="0.35">
      <c r="A145" s="250" t="s">
        <v>296</v>
      </c>
      <c r="B145" s="409" t="s">
        <v>771</v>
      </c>
      <c r="C145" s="410"/>
      <c r="D145" s="251">
        <v>1</v>
      </c>
      <c r="E145" s="19" t="s">
        <v>235</v>
      </c>
      <c r="F145" s="135">
        <v>528</v>
      </c>
      <c r="G145" s="135">
        <f t="shared" si="72"/>
        <v>528</v>
      </c>
      <c r="H145" s="135">
        <v>396</v>
      </c>
      <c r="I145" s="136">
        <f t="shared" si="73"/>
        <v>75</v>
      </c>
      <c r="J145" s="136">
        <f t="shared" si="74"/>
        <v>75</v>
      </c>
      <c r="K145" s="138"/>
      <c r="L145" s="24"/>
      <c r="M145" s="494"/>
      <c r="N145" s="494"/>
      <c r="O145" s="494"/>
      <c r="Q145" s="252" t="s">
        <v>776</v>
      </c>
    </row>
    <row r="146" spans="1:17" ht="41.15" customHeight="1" x14ac:dyDescent="0.35">
      <c r="A146" s="250" t="s">
        <v>297</v>
      </c>
      <c r="B146" s="409" t="s">
        <v>298</v>
      </c>
      <c r="C146" s="410"/>
      <c r="D146" s="251">
        <v>1</v>
      </c>
      <c r="E146" s="19" t="s">
        <v>235</v>
      </c>
      <c r="F146" s="135">
        <v>12</v>
      </c>
      <c r="G146" s="135">
        <f t="shared" ref="G146" si="75">D146*F146</f>
        <v>12</v>
      </c>
      <c r="H146" s="135">
        <v>12</v>
      </c>
      <c r="I146" s="136">
        <f t="shared" ref="I146:I148" si="76">H146/F146*100</f>
        <v>100</v>
      </c>
      <c r="J146" s="136">
        <f t="shared" ref="J146:J148" si="77">IF(H146/G146*100&gt;=100,100,IF(H146/G146*100&lt;100,H146/G146*100))</f>
        <v>100</v>
      </c>
      <c r="K146" s="138"/>
      <c r="L146" s="24"/>
      <c r="M146" s="494"/>
      <c r="N146" s="494"/>
      <c r="O146" s="494"/>
      <c r="Q146" s="252" t="s">
        <v>410</v>
      </c>
    </row>
    <row r="147" spans="1:17" ht="39" customHeight="1" x14ac:dyDescent="0.35">
      <c r="A147" s="215" t="s">
        <v>409</v>
      </c>
      <c r="B147" s="411" t="s">
        <v>772</v>
      </c>
      <c r="C147" s="412"/>
      <c r="D147" s="253" t="s">
        <v>745</v>
      </c>
      <c r="E147" s="19" t="s">
        <v>235</v>
      </c>
      <c r="F147" s="135">
        <v>12</v>
      </c>
      <c r="G147" s="135">
        <f>80%*F147</f>
        <v>9.6000000000000014</v>
      </c>
      <c r="H147" s="135">
        <v>12</v>
      </c>
      <c r="I147" s="136">
        <f t="shared" si="76"/>
        <v>100</v>
      </c>
      <c r="J147" s="136">
        <f t="shared" si="77"/>
        <v>100</v>
      </c>
      <c r="K147" s="138"/>
      <c r="L147" s="24"/>
      <c r="M147" s="494"/>
      <c r="N147" s="494"/>
      <c r="O147" s="494"/>
      <c r="Q147" s="217" t="s">
        <v>777</v>
      </c>
    </row>
    <row r="148" spans="1:17" ht="43.4" customHeight="1" x14ac:dyDescent="0.35">
      <c r="A148" s="250" t="s">
        <v>773</v>
      </c>
      <c r="B148" s="409" t="s">
        <v>299</v>
      </c>
      <c r="C148" s="410"/>
      <c r="D148" s="250" t="s">
        <v>745</v>
      </c>
      <c r="E148" s="19" t="s">
        <v>235</v>
      </c>
      <c r="F148" s="135">
        <v>11</v>
      </c>
      <c r="G148" s="135">
        <f>80%*F148</f>
        <v>8.8000000000000007</v>
      </c>
      <c r="H148" s="135">
        <v>12</v>
      </c>
      <c r="I148" s="136">
        <f t="shared" si="76"/>
        <v>109.09090909090908</v>
      </c>
      <c r="J148" s="136">
        <f t="shared" si="77"/>
        <v>100</v>
      </c>
      <c r="K148" s="138"/>
      <c r="L148" s="24"/>
      <c r="M148" s="494"/>
      <c r="N148" s="494"/>
      <c r="O148" s="494"/>
      <c r="Q148" s="252" t="s">
        <v>411</v>
      </c>
    </row>
    <row r="149" spans="1:17" ht="17.5" x14ac:dyDescent="0.35">
      <c r="A149" s="44" t="s">
        <v>833</v>
      </c>
      <c r="B149" s="88"/>
      <c r="C149" s="88"/>
      <c r="D149" s="36"/>
      <c r="E149" s="50"/>
      <c r="F149" s="159"/>
      <c r="G149" s="158"/>
      <c r="H149" s="135"/>
      <c r="I149" s="136"/>
      <c r="J149" s="136"/>
      <c r="K149" s="275">
        <f>SUM(J150:J154)/5</f>
        <v>100</v>
      </c>
      <c r="L149" s="24"/>
      <c r="M149" s="494"/>
      <c r="N149" s="494"/>
      <c r="O149" s="494"/>
      <c r="Q149" s="4"/>
    </row>
    <row r="150" spans="1:17" ht="43.4" customHeight="1" x14ac:dyDescent="0.35">
      <c r="A150" s="250" t="s">
        <v>169</v>
      </c>
      <c r="B150" s="409" t="s">
        <v>754</v>
      </c>
      <c r="C150" s="410"/>
      <c r="D150" s="250" t="s">
        <v>745</v>
      </c>
      <c r="E150" s="19" t="s">
        <v>300</v>
      </c>
      <c r="F150" s="135">
        <v>12</v>
      </c>
      <c r="G150" s="135">
        <f>80%*F150</f>
        <v>9.6000000000000014</v>
      </c>
      <c r="H150" s="345">
        <v>12</v>
      </c>
      <c r="I150" s="136">
        <f t="shared" ref="I150:I179" si="78">H150/F150*100</f>
        <v>100</v>
      </c>
      <c r="J150" s="136">
        <f t="shared" ref="J150:J179" si="79">IF(H150/G150*100&gt;=100,100,IF(H150/G150*100&lt;100,H150/G150*100))</f>
        <v>100</v>
      </c>
      <c r="K150" s="138"/>
      <c r="L150" s="24"/>
      <c r="M150" s="494"/>
      <c r="N150" s="494"/>
      <c r="O150" s="494"/>
      <c r="Q150" s="252" t="s">
        <v>412</v>
      </c>
    </row>
    <row r="151" spans="1:17" ht="33" customHeight="1" x14ac:dyDescent="0.35">
      <c r="A151" s="250" t="s">
        <v>215</v>
      </c>
      <c r="B151" s="409" t="s">
        <v>755</v>
      </c>
      <c r="C151" s="410"/>
      <c r="D151" s="250" t="s">
        <v>745</v>
      </c>
      <c r="E151" s="19" t="s">
        <v>300</v>
      </c>
      <c r="F151" s="135">
        <v>52</v>
      </c>
      <c r="G151" s="135">
        <f>80%*F151</f>
        <v>41.6</v>
      </c>
      <c r="H151" s="345">
        <v>52</v>
      </c>
      <c r="I151" s="136">
        <f t="shared" si="78"/>
        <v>100</v>
      </c>
      <c r="J151" s="136">
        <f t="shared" si="79"/>
        <v>100</v>
      </c>
      <c r="K151" s="138"/>
      <c r="L151" s="24"/>
      <c r="M151" s="494"/>
      <c r="N151" s="494"/>
      <c r="O151" s="494"/>
      <c r="Q151" s="252" t="s">
        <v>760</v>
      </c>
    </row>
    <row r="152" spans="1:17" ht="31.4" customHeight="1" x14ac:dyDescent="0.35">
      <c r="A152" s="250" t="s">
        <v>183</v>
      </c>
      <c r="B152" s="409" t="s">
        <v>756</v>
      </c>
      <c r="C152" s="410"/>
      <c r="D152" s="250" t="s">
        <v>745</v>
      </c>
      <c r="E152" s="19" t="s">
        <v>300</v>
      </c>
      <c r="F152" s="135">
        <v>52</v>
      </c>
      <c r="G152" s="135">
        <f>80%*F152</f>
        <v>41.6</v>
      </c>
      <c r="H152" s="345">
        <v>52</v>
      </c>
      <c r="I152" s="136">
        <f t="shared" si="78"/>
        <v>100</v>
      </c>
      <c r="J152" s="136">
        <f t="shared" si="79"/>
        <v>100</v>
      </c>
      <c r="K152" s="138"/>
      <c r="L152" s="24"/>
      <c r="M152" s="494"/>
      <c r="N152" s="494"/>
      <c r="O152" s="494"/>
      <c r="Q152" s="252" t="s">
        <v>761</v>
      </c>
    </row>
    <row r="153" spans="1:17" ht="29.15" customHeight="1" x14ac:dyDescent="0.35">
      <c r="A153" s="250" t="s">
        <v>245</v>
      </c>
      <c r="B153" s="409" t="s">
        <v>757</v>
      </c>
      <c r="C153" s="410"/>
      <c r="D153" s="250" t="s">
        <v>759</v>
      </c>
      <c r="E153" s="19" t="s">
        <v>300</v>
      </c>
      <c r="F153" s="135">
        <v>52</v>
      </c>
      <c r="G153" s="135">
        <f>90%*F153</f>
        <v>46.800000000000004</v>
      </c>
      <c r="H153" s="345">
        <v>52</v>
      </c>
      <c r="I153" s="136">
        <f t="shared" si="78"/>
        <v>100</v>
      </c>
      <c r="J153" s="136">
        <f t="shared" si="79"/>
        <v>100</v>
      </c>
      <c r="K153" s="138"/>
      <c r="L153" s="24"/>
      <c r="M153" s="494"/>
      <c r="N153" s="494"/>
      <c r="O153" s="494"/>
      <c r="Q153" s="252" t="s">
        <v>762</v>
      </c>
    </row>
    <row r="154" spans="1:17" ht="46.5" customHeight="1" x14ac:dyDescent="0.35">
      <c r="A154" s="250" t="s">
        <v>249</v>
      </c>
      <c r="B154" s="409" t="s">
        <v>811</v>
      </c>
      <c r="C154" s="410"/>
      <c r="D154" s="250" t="s">
        <v>745</v>
      </c>
      <c r="E154" s="19" t="s">
        <v>300</v>
      </c>
      <c r="F154" s="135">
        <v>9</v>
      </c>
      <c r="G154" s="135">
        <f>80%*F154</f>
        <v>7.2</v>
      </c>
      <c r="H154" s="345">
        <v>13</v>
      </c>
      <c r="I154" s="136">
        <f t="shared" si="78"/>
        <v>144.44444444444443</v>
      </c>
      <c r="J154" s="136">
        <f t="shared" si="79"/>
        <v>100</v>
      </c>
      <c r="K154" s="138"/>
      <c r="L154" s="24"/>
      <c r="M154" s="494"/>
      <c r="N154" s="494"/>
      <c r="O154" s="494"/>
      <c r="Q154" s="252" t="s">
        <v>763</v>
      </c>
    </row>
    <row r="155" spans="1:17" ht="43.4" customHeight="1" x14ac:dyDescent="0.35">
      <c r="A155" s="250" t="s">
        <v>296</v>
      </c>
      <c r="B155" s="409" t="s">
        <v>758</v>
      </c>
      <c r="C155" s="410"/>
      <c r="D155" s="251">
        <v>1</v>
      </c>
      <c r="E155" s="19" t="s">
        <v>300</v>
      </c>
      <c r="F155" s="135">
        <v>0</v>
      </c>
      <c r="G155" s="135">
        <f>D155*F155</f>
        <v>0</v>
      </c>
      <c r="H155" s="345">
        <v>0</v>
      </c>
      <c r="I155" s="136">
        <v>0</v>
      </c>
      <c r="J155" s="136">
        <v>0</v>
      </c>
      <c r="K155" s="138"/>
      <c r="L155" s="24"/>
      <c r="M155" s="494"/>
      <c r="N155" s="494"/>
      <c r="O155" s="494"/>
      <c r="Q155" s="252" t="s">
        <v>764</v>
      </c>
    </row>
    <row r="156" spans="1:17" ht="17.5" x14ac:dyDescent="0.35">
      <c r="A156" s="383" t="s">
        <v>832</v>
      </c>
      <c r="B156" s="384"/>
      <c r="C156" s="384"/>
      <c r="D156" s="384"/>
      <c r="E156" s="385"/>
      <c r="F156" s="159"/>
      <c r="G156" s="158"/>
      <c r="H156" s="135"/>
      <c r="I156" s="136"/>
      <c r="J156" s="136"/>
      <c r="K156" s="275">
        <f>J157</f>
        <v>100</v>
      </c>
      <c r="L156" s="332">
        <f>AVERAGE(K156,K158,K164,K171,K173,K175,K178,K168)</f>
        <v>85.006590833377743</v>
      </c>
      <c r="M156" s="494"/>
      <c r="N156" s="494"/>
      <c r="O156" s="494"/>
      <c r="Q156" s="4"/>
    </row>
    <row r="157" spans="1:17" ht="74.150000000000006" customHeight="1" x14ac:dyDescent="0.35">
      <c r="A157" s="215" t="s">
        <v>169</v>
      </c>
      <c r="B157" s="411" t="s">
        <v>302</v>
      </c>
      <c r="C157" s="412"/>
      <c r="D157" s="215" t="s">
        <v>855</v>
      </c>
      <c r="E157" s="50" t="s">
        <v>235</v>
      </c>
      <c r="F157" s="135">
        <v>23381</v>
      </c>
      <c r="G157" s="135">
        <f>D157*F157</f>
        <v>23381</v>
      </c>
      <c r="H157" s="345">
        <v>23381</v>
      </c>
      <c r="I157" s="136">
        <f t="shared" si="78"/>
        <v>100</v>
      </c>
      <c r="J157" s="136">
        <f t="shared" si="79"/>
        <v>100</v>
      </c>
      <c r="K157" s="138"/>
      <c r="L157" s="24"/>
      <c r="M157" s="494"/>
      <c r="N157" s="494"/>
      <c r="O157" s="494"/>
      <c r="Q157" s="4" t="s">
        <v>414</v>
      </c>
    </row>
    <row r="158" spans="1:17" ht="22" customHeight="1" x14ac:dyDescent="0.35">
      <c r="A158" s="386" t="s">
        <v>877</v>
      </c>
      <c r="B158" s="435"/>
      <c r="C158" s="435"/>
      <c r="D158" s="412"/>
      <c r="E158" s="50"/>
      <c r="F158" s="135"/>
      <c r="G158" s="135"/>
      <c r="H158" s="345"/>
      <c r="I158" s="136"/>
      <c r="J158" s="136"/>
      <c r="K158" s="275">
        <f>AVERAGE(J159:J163)</f>
        <v>91.917165928627242</v>
      </c>
      <c r="L158" s="24"/>
      <c r="M158" s="494"/>
      <c r="N158" s="494"/>
      <c r="O158" s="494"/>
      <c r="Q158" s="4"/>
    </row>
    <row r="159" spans="1:17" ht="74.150000000000006" customHeight="1" x14ac:dyDescent="0.35">
      <c r="A159" s="215" t="s">
        <v>169</v>
      </c>
      <c r="B159" s="411" t="s">
        <v>856</v>
      </c>
      <c r="C159" s="412"/>
      <c r="D159" s="260">
        <v>1</v>
      </c>
      <c r="E159" s="50" t="s">
        <v>857</v>
      </c>
      <c r="F159" s="135">
        <v>9</v>
      </c>
      <c r="G159" s="135">
        <f t="shared" ref="G159:G184" si="80">D159*F159</f>
        <v>9</v>
      </c>
      <c r="H159" s="345">
        <v>9</v>
      </c>
      <c r="I159" s="136">
        <f t="shared" si="78"/>
        <v>100</v>
      </c>
      <c r="J159" s="136">
        <f t="shared" si="79"/>
        <v>100</v>
      </c>
      <c r="K159" s="138"/>
      <c r="L159" s="24"/>
      <c r="M159" s="494"/>
      <c r="N159" s="494"/>
      <c r="O159" s="494"/>
      <c r="Q159" s="4" t="s">
        <v>416</v>
      </c>
    </row>
    <row r="160" spans="1:17" ht="74.150000000000006" customHeight="1" x14ac:dyDescent="0.35">
      <c r="A160" s="215" t="s">
        <v>215</v>
      </c>
      <c r="B160" s="411" t="s">
        <v>413</v>
      </c>
      <c r="C160" s="412"/>
      <c r="D160" s="260">
        <v>1</v>
      </c>
      <c r="E160" s="50" t="s">
        <v>825</v>
      </c>
      <c r="F160" s="135">
        <v>34</v>
      </c>
      <c r="G160" s="135">
        <f t="shared" si="80"/>
        <v>34</v>
      </c>
      <c r="H160" s="345">
        <v>34</v>
      </c>
      <c r="I160" s="136">
        <f t="shared" si="78"/>
        <v>100</v>
      </c>
      <c r="J160" s="136">
        <f t="shared" si="79"/>
        <v>100</v>
      </c>
      <c r="K160" s="138"/>
      <c r="L160" s="24"/>
      <c r="M160" s="494"/>
      <c r="N160" s="494"/>
      <c r="O160" s="494"/>
      <c r="Q160" s="4" t="s">
        <v>417</v>
      </c>
    </row>
    <row r="161" spans="1:17" ht="74.150000000000006" customHeight="1" x14ac:dyDescent="0.35">
      <c r="A161" s="215" t="s">
        <v>183</v>
      </c>
      <c r="B161" s="411" t="s">
        <v>858</v>
      </c>
      <c r="C161" s="412"/>
      <c r="D161" s="260">
        <v>1</v>
      </c>
      <c r="E161" s="207" t="s">
        <v>901</v>
      </c>
      <c r="F161" s="135">
        <v>36</v>
      </c>
      <c r="G161" s="135">
        <f t="shared" si="80"/>
        <v>36</v>
      </c>
      <c r="H161" s="345">
        <v>36</v>
      </c>
      <c r="I161" s="136">
        <f t="shared" si="78"/>
        <v>100</v>
      </c>
      <c r="J161" s="136">
        <f t="shared" si="79"/>
        <v>100</v>
      </c>
      <c r="K161" s="138"/>
      <c r="L161" s="24"/>
      <c r="M161" s="494"/>
      <c r="N161" s="494"/>
      <c r="O161" s="494"/>
      <c r="Q161" s="4" t="s">
        <v>418</v>
      </c>
    </row>
    <row r="162" spans="1:17" ht="74.150000000000006" customHeight="1" x14ac:dyDescent="0.35">
      <c r="A162" s="253" t="s">
        <v>245</v>
      </c>
      <c r="B162" s="411" t="s">
        <v>415</v>
      </c>
      <c r="C162" s="412"/>
      <c r="D162" s="260" t="s">
        <v>859</v>
      </c>
      <c r="E162" s="50" t="s">
        <v>434</v>
      </c>
      <c r="F162" s="135">
        <v>3490</v>
      </c>
      <c r="G162" s="135">
        <f>8.8%*F162</f>
        <v>307.12</v>
      </c>
      <c r="H162" s="345">
        <v>183</v>
      </c>
      <c r="I162" s="136">
        <f t="shared" si="78"/>
        <v>5.2435530085959883</v>
      </c>
      <c r="J162" s="136">
        <f t="shared" si="79"/>
        <v>59.585829643136236</v>
      </c>
      <c r="K162" s="138"/>
      <c r="L162" s="24"/>
      <c r="M162" s="494"/>
      <c r="N162" s="494"/>
      <c r="O162" s="494"/>
      <c r="Q162" s="4" t="s">
        <v>419</v>
      </c>
    </row>
    <row r="163" spans="1:17" ht="74.150000000000006" customHeight="1" x14ac:dyDescent="0.35">
      <c r="A163" s="253" t="s">
        <v>249</v>
      </c>
      <c r="B163" s="411" t="s">
        <v>860</v>
      </c>
      <c r="C163" s="412"/>
      <c r="D163" s="260">
        <v>1</v>
      </c>
      <c r="E163" s="51" t="s">
        <v>900</v>
      </c>
      <c r="F163" s="135">
        <v>1</v>
      </c>
      <c r="G163" s="135">
        <f t="shared" si="80"/>
        <v>1</v>
      </c>
      <c r="H163" s="345">
        <v>1</v>
      </c>
      <c r="I163" s="136">
        <f t="shared" si="78"/>
        <v>100</v>
      </c>
      <c r="J163" s="136">
        <f t="shared" si="79"/>
        <v>100</v>
      </c>
      <c r="K163" s="138"/>
      <c r="L163" s="24"/>
      <c r="M163" s="494"/>
      <c r="N163" s="494"/>
      <c r="O163" s="494"/>
      <c r="Q163" s="3" t="s">
        <v>420</v>
      </c>
    </row>
    <row r="164" spans="1:17" ht="29.15" customHeight="1" x14ac:dyDescent="0.35">
      <c r="A164" s="292" t="s">
        <v>876</v>
      </c>
      <c r="B164" s="287"/>
      <c r="C164" s="287"/>
      <c r="D164" s="287"/>
      <c r="E164" s="288"/>
      <c r="F164" s="135"/>
      <c r="G164" s="135"/>
      <c r="H164" s="345"/>
      <c r="I164" s="136"/>
      <c r="J164" s="136"/>
      <c r="K164" s="275">
        <f>AVERAGE(J165:J167)</f>
        <v>82.488654033895386</v>
      </c>
      <c r="L164" s="24"/>
      <c r="M164" s="494"/>
      <c r="N164" s="494"/>
      <c r="O164" s="494"/>
      <c r="Q164" s="3"/>
    </row>
    <row r="165" spans="1:17" ht="28" customHeight="1" x14ac:dyDescent="0.35">
      <c r="A165" s="289" t="s">
        <v>169</v>
      </c>
      <c r="B165" s="381" t="s">
        <v>861</v>
      </c>
      <c r="C165" s="382"/>
      <c r="D165" s="290">
        <v>0.9</v>
      </c>
      <c r="E165" s="51" t="s">
        <v>235</v>
      </c>
      <c r="F165" s="135">
        <v>24029</v>
      </c>
      <c r="G165" s="135">
        <f t="shared" si="80"/>
        <v>21626.100000000002</v>
      </c>
      <c r="H165" s="345">
        <v>14142</v>
      </c>
      <c r="I165" s="136">
        <f t="shared" si="78"/>
        <v>58.853884889092342</v>
      </c>
      <c r="J165" s="136">
        <f t="shared" si="79"/>
        <v>65.39320543232482</v>
      </c>
      <c r="K165" s="135"/>
      <c r="L165" s="24"/>
      <c r="M165" s="494"/>
      <c r="N165" s="494"/>
      <c r="O165" s="494"/>
      <c r="Q165" s="3"/>
    </row>
    <row r="166" spans="1:17" ht="26.15" customHeight="1" x14ac:dyDescent="0.35">
      <c r="A166" s="289" t="s">
        <v>215</v>
      </c>
      <c r="B166" s="390" t="s">
        <v>862</v>
      </c>
      <c r="C166" s="382"/>
      <c r="D166" s="290">
        <v>0.9</v>
      </c>
      <c r="E166" s="51" t="s">
        <v>235</v>
      </c>
      <c r="F166" s="135">
        <v>30925</v>
      </c>
      <c r="G166" s="135">
        <f t="shared" si="80"/>
        <v>27832.5</v>
      </c>
      <c r="H166" s="345">
        <v>25381</v>
      </c>
      <c r="I166" s="136">
        <f t="shared" si="78"/>
        <v>82.072756669361354</v>
      </c>
      <c r="J166" s="136">
        <f>H166/F166*100</f>
        <v>82.072756669361354</v>
      </c>
      <c r="K166" s="135"/>
      <c r="L166" s="24"/>
      <c r="M166" s="494"/>
      <c r="N166" s="494"/>
      <c r="O166" s="494"/>
      <c r="Q166" s="3"/>
    </row>
    <row r="167" spans="1:17" ht="35.5" customHeight="1" x14ac:dyDescent="0.35">
      <c r="A167" s="289" t="s">
        <v>183</v>
      </c>
      <c r="B167" s="381" t="s">
        <v>863</v>
      </c>
      <c r="C167" s="382"/>
      <c r="D167" s="291">
        <v>1</v>
      </c>
      <c r="E167" s="51" t="s">
        <v>235</v>
      </c>
      <c r="F167" s="135">
        <v>16</v>
      </c>
      <c r="G167" s="135">
        <f t="shared" si="80"/>
        <v>16</v>
      </c>
      <c r="H167" s="345">
        <v>23</v>
      </c>
      <c r="I167" s="136">
        <f t="shared" si="78"/>
        <v>143.75</v>
      </c>
      <c r="J167" s="136">
        <f t="shared" si="79"/>
        <v>100</v>
      </c>
      <c r="K167" s="135"/>
      <c r="L167" s="24"/>
      <c r="M167" s="494"/>
      <c r="N167" s="494"/>
      <c r="O167" s="494"/>
      <c r="Q167" s="3"/>
    </row>
    <row r="168" spans="1:17" ht="30" customHeight="1" x14ac:dyDescent="0.35">
      <c r="A168" s="292" t="s">
        <v>875</v>
      </c>
      <c r="B168" s="287"/>
      <c r="C168" s="287"/>
      <c r="D168" s="287"/>
      <c r="E168" s="288"/>
      <c r="F168" s="135"/>
      <c r="G168" s="135"/>
      <c r="H168" s="345"/>
      <c r="I168" s="136"/>
      <c r="J168" s="136"/>
      <c r="K168" s="275">
        <f>AVERAGE(J169:J170)</f>
        <v>59.438309881488777</v>
      </c>
      <c r="L168" s="24"/>
      <c r="M168" s="494"/>
      <c r="N168" s="494"/>
      <c r="O168" s="494"/>
      <c r="Q168" s="3"/>
    </row>
    <row r="169" spans="1:17" ht="24" customHeight="1" x14ac:dyDescent="0.35">
      <c r="A169" s="253" t="s">
        <v>169</v>
      </c>
      <c r="B169" s="388" t="s">
        <v>864</v>
      </c>
      <c r="C169" s="382"/>
      <c r="D169" s="290">
        <v>0.9</v>
      </c>
      <c r="E169" s="51" t="s">
        <v>235</v>
      </c>
      <c r="F169" s="135">
        <v>30925</v>
      </c>
      <c r="G169" s="135">
        <f t="shared" si="80"/>
        <v>27832.5</v>
      </c>
      <c r="H169" s="345">
        <v>25381</v>
      </c>
      <c r="I169" s="136">
        <f t="shared" si="78"/>
        <v>82.072756669361354</v>
      </c>
      <c r="J169" s="136">
        <f t="shared" si="79"/>
        <v>91.191951854845954</v>
      </c>
      <c r="K169" s="135"/>
      <c r="L169" s="24"/>
      <c r="M169" s="494"/>
      <c r="N169" s="494"/>
      <c r="O169" s="494"/>
      <c r="Q169" s="3"/>
    </row>
    <row r="170" spans="1:17" ht="30" customHeight="1" x14ac:dyDescent="0.35">
      <c r="A170" s="289" t="s">
        <v>215</v>
      </c>
      <c r="B170" s="381" t="s">
        <v>865</v>
      </c>
      <c r="C170" s="382"/>
      <c r="D170" s="290">
        <v>0.9</v>
      </c>
      <c r="E170" s="51" t="s">
        <v>235</v>
      </c>
      <c r="F170" s="135">
        <v>7160</v>
      </c>
      <c r="G170" s="135">
        <f t="shared" si="80"/>
        <v>6444</v>
      </c>
      <c r="H170" s="345">
        <v>1784</v>
      </c>
      <c r="I170" s="136">
        <f t="shared" si="78"/>
        <v>24.916201117318433</v>
      </c>
      <c r="J170" s="136">
        <f t="shared" si="79"/>
        <v>27.684667908131594</v>
      </c>
      <c r="K170" s="135"/>
      <c r="L170" s="24"/>
      <c r="M170" s="494"/>
      <c r="N170" s="494"/>
      <c r="O170" s="494"/>
      <c r="Q170" s="3"/>
    </row>
    <row r="171" spans="1:17" ht="22" customHeight="1" x14ac:dyDescent="0.35">
      <c r="A171" s="389" t="s">
        <v>874</v>
      </c>
      <c r="B171" s="387"/>
      <c r="C171" s="387"/>
      <c r="D171" s="387"/>
      <c r="E171" s="382"/>
      <c r="F171" s="135"/>
      <c r="G171" s="135"/>
      <c r="H171" s="345"/>
      <c r="I171" s="136"/>
      <c r="J171" s="136"/>
      <c r="K171" s="362">
        <f>J172</f>
        <v>93.296089385474858</v>
      </c>
      <c r="L171" s="24"/>
      <c r="M171" s="494"/>
      <c r="N171" s="494"/>
      <c r="O171" s="494"/>
      <c r="Q171" s="3"/>
    </row>
    <row r="172" spans="1:17" ht="27" customHeight="1" x14ac:dyDescent="0.35">
      <c r="A172" s="289" t="s">
        <v>169</v>
      </c>
      <c r="B172" s="381" t="s">
        <v>866</v>
      </c>
      <c r="C172" s="382"/>
      <c r="D172" s="290">
        <v>0.9</v>
      </c>
      <c r="E172" s="51" t="s">
        <v>235</v>
      </c>
      <c r="F172" s="135">
        <v>7160</v>
      </c>
      <c r="G172" s="135">
        <f t="shared" si="80"/>
        <v>6444</v>
      </c>
      <c r="H172" s="345">
        <v>6012</v>
      </c>
      <c r="I172" s="136">
        <f t="shared" si="78"/>
        <v>83.966480446927378</v>
      </c>
      <c r="J172" s="136">
        <f t="shared" si="79"/>
        <v>93.296089385474858</v>
      </c>
      <c r="K172" s="135"/>
      <c r="L172" s="24"/>
      <c r="M172" s="494"/>
      <c r="N172" s="494"/>
      <c r="O172" s="494"/>
      <c r="Q172" s="3"/>
    </row>
    <row r="173" spans="1:17" ht="25" customHeight="1" x14ac:dyDescent="0.35">
      <c r="A173" s="292" t="s">
        <v>873</v>
      </c>
      <c r="B173" s="287"/>
      <c r="C173" s="287"/>
      <c r="D173" s="287"/>
      <c r="E173" s="288"/>
      <c r="F173" s="135"/>
      <c r="G173" s="135"/>
      <c r="H173" s="345"/>
      <c r="I173" s="136"/>
      <c r="J173" s="136"/>
      <c r="K173" s="362">
        <f>J174</f>
        <v>91.458058849363198</v>
      </c>
      <c r="L173" s="24"/>
      <c r="M173" s="494"/>
      <c r="N173" s="494"/>
      <c r="O173" s="494"/>
      <c r="Q173" s="3"/>
    </row>
    <row r="174" spans="1:17" ht="41.5" customHeight="1" x14ac:dyDescent="0.35">
      <c r="A174" s="289" t="s">
        <v>169</v>
      </c>
      <c r="B174" s="381" t="s">
        <v>867</v>
      </c>
      <c r="C174" s="382"/>
      <c r="D174" s="290">
        <v>0.9</v>
      </c>
      <c r="E174" s="51" t="s">
        <v>235</v>
      </c>
      <c r="F174" s="135">
        <v>5060</v>
      </c>
      <c r="G174" s="135">
        <f t="shared" si="80"/>
        <v>4554</v>
      </c>
      <c r="H174" s="345">
        <v>4165</v>
      </c>
      <c r="I174" s="136">
        <f t="shared" si="78"/>
        <v>82.312252964426875</v>
      </c>
      <c r="J174" s="136">
        <f t="shared" si="79"/>
        <v>91.458058849363198</v>
      </c>
      <c r="K174" s="135"/>
      <c r="L174" s="24"/>
      <c r="M174" s="494"/>
      <c r="N174" s="494"/>
      <c r="O174" s="494"/>
      <c r="Q174" s="3"/>
    </row>
    <row r="175" spans="1:17" ht="24" customHeight="1" x14ac:dyDescent="0.35">
      <c r="A175" s="292" t="s">
        <v>872</v>
      </c>
      <c r="B175" s="287"/>
      <c r="C175" s="287"/>
      <c r="D175" s="287"/>
      <c r="E175" s="288"/>
      <c r="F175" s="135"/>
      <c r="G175" s="135"/>
      <c r="H175" s="345"/>
      <c r="I175" s="136"/>
      <c r="J175" s="136"/>
      <c r="K175" s="362">
        <f>AVERAGE(J176:J177)</f>
        <v>61.454448588172617</v>
      </c>
      <c r="L175" s="24"/>
      <c r="M175" s="494"/>
      <c r="N175" s="494"/>
      <c r="O175" s="494"/>
      <c r="Q175" s="3"/>
    </row>
    <row r="176" spans="1:17" ht="29.15" customHeight="1" x14ac:dyDescent="0.35">
      <c r="A176" s="289" t="s">
        <v>169</v>
      </c>
      <c r="B176" s="381" t="s">
        <v>868</v>
      </c>
      <c r="C176" s="382"/>
      <c r="D176" s="290">
        <v>0.9</v>
      </c>
      <c r="E176" s="51" t="s">
        <v>235</v>
      </c>
      <c r="F176" s="135">
        <v>5631</v>
      </c>
      <c r="G176" s="135">
        <f t="shared" si="80"/>
        <v>5067.9000000000005</v>
      </c>
      <c r="H176" s="345">
        <v>5068</v>
      </c>
      <c r="I176" s="136">
        <f t="shared" si="78"/>
        <v>90.001775883502049</v>
      </c>
      <c r="J176" s="136">
        <f t="shared" si="79"/>
        <v>100</v>
      </c>
      <c r="K176" s="135"/>
      <c r="L176" s="24"/>
      <c r="M176" s="494"/>
      <c r="N176" s="494"/>
      <c r="O176" s="494"/>
      <c r="Q176" s="3"/>
    </row>
    <row r="177" spans="1:17" ht="28.5" customHeight="1" x14ac:dyDescent="0.35">
      <c r="A177" s="289" t="s">
        <v>215</v>
      </c>
      <c r="B177" s="381" t="s">
        <v>869</v>
      </c>
      <c r="C177" s="382"/>
      <c r="D177" s="290">
        <v>0.9</v>
      </c>
      <c r="E177" s="51" t="s">
        <v>235</v>
      </c>
      <c r="F177" s="135">
        <v>1877</v>
      </c>
      <c r="G177" s="135">
        <f t="shared" si="80"/>
        <v>1689.3</v>
      </c>
      <c r="H177" s="346">
        <v>387</v>
      </c>
      <c r="I177" s="136">
        <f t="shared" si="78"/>
        <v>20.618007458710707</v>
      </c>
      <c r="J177" s="136">
        <f t="shared" si="79"/>
        <v>22.908897176345235</v>
      </c>
      <c r="K177" s="135"/>
      <c r="L177" s="24"/>
      <c r="M177" s="494"/>
      <c r="N177" s="494"/>
      <c r="O177" s="494"/>
      <c r="Q177" s="3"/>
    </row>
    <row r="178" spans="1:17" ht="23.5" customHeight="1" x14ac:dyDescent="0.35">
      <c r="A178" s="386" t="s">
        <v>871</v>
      </c>
      <c r="B178" s="387"/>
      <c r="C178" s="387"/>
      <c r="D178" s="387"/>
      <c r="E178" s="382"/>
      <c r="F178" s="135"/>
      <c r="G178" s="135"/>
      <c r="H178" s="346"/>
      <c r="I178" s="136"/>
      <c r="J178" s="136"/>
      <c r="K178" s="362">
        <f>J179</f>
        <v>100</v>
      </c>
      <c r="L178" s="24"/>
      <c r="M178" s="494"/>
      <c r="N178" s="494"/>
      <c r="O178" s="494"/>
      <c r="Q178" s="3"/>
    </row>
    <row r="179" spans="1:17" ht="32.5" customHeight="1" x14ac:dyDescent="0.35">
      <c r="A179" s="289" t="s">
        <v>169</v>
      </c>
      <c r="B179" s="381" t="s">
        <v>870</v>
      </c>
      <c r="C179" s="382"/>
      <c r="D179" s="290">
        <v>0.9</v>
      </c>
      <c r="E179" s="51" t="s">
        <v>235</v>
      </c>
      <c r="F179" s="135">
        <v>29754</v>
      </c>
      <c r="G179" s="135">
        <f t="shared" si="80"/>
        <v>26778.600000000002</v>
      </c>
      <c r="H179" s="346">
        <v>26968</v>
      </c>
      <c r="I179" s="136">
        <f t="shared" si="78"/>
        <v>90.63655306849499</v>
      </c>
      <c r="J179" s="136">
        <f t="shared" si="79"/>
        <v>100</v>
      </c>
      <c r="K179" s="135"/>
      <c r="L179" s="24"/>
      <c r="M179" s="494"/>
      <c r="N179" s="494"/>
      <c r="O179" s="494"/>
      <c r="Q179" s="3"/>
    </row>
    <row r="180" spans="1:17" ht="17.5" x14ac:dyDescent="0.35">
      <c r="A180" s="44" t="s">
        <v>665</v>
      </c>
      <c r="B180" s="44"/>
      <c r="C180" s="44"/>
      <c r="D180" s="50"/>
      <c r="E180" s="50"/>
      <c r="F180" s="140"/>
      <c r="G180" s="140"/>
      <c r="H180" s="140"/>
      <c r="I180" s="140"/>
      <c r="J180" s="150"/>
      <c r="K180" s="362">
        <f>SUM(J181:J182)/2</f>
        <v>98.941205779770797</v>
      </c>
      <c r="L180" s="24"/>
      <c r="M180" s="494"/>
      <c r="N180" s="494"/>
      <c r="O180" s="494"/>
      <c r="Q180" s="54"/>
    </row>
    <row r="181" spans="1:17" ht="68.150000000000006" customHeight="1" x14ac:dyDescent="0.35">
      <c r="A181" s="2">
        <v>1</v>
      </c>
      <c r="B181" s="436" t="s">
        <v>703</v>
      </c>
      <c r="C181" s="437"/>
      <c r="D181" s="51">
        <v>0.6</v>
      </c>
      <c r="E181" s="264" t="s">
        <v>235</v>
      </c>
      <c r="F181" s="140">
        <v>6690</v>
      </c>
      <c r="G181" s="135">
        <f t="shared" si="80"/>
        <v>4014</v>
      </c>
      <c r="H181" s="345">
        <v>3929</v>
      </c>
      <c r="I181" s="136">
        <f t="shared" ref="I181:I182" si="81">H181/F181*100</f>
        <v>58.729446935724958</v>
      </c>
      <c r="J181" s="150">
        <f t="shared" ref="J181:J182" si="82">IF(H181/G181*100&gt;=100,100,IF(H181/G181*100&lt;100,H181/G181*100))</f>
        <v>97.882411559541609</v>
      </c>
      <c r="K181" s="150"/>
      <c r="L181" s="24"/>
      <c r="M181" s="494"/>
      <c r="N181" s="494"/>
      <c r="O181" s="494"/>
      <c r="Q181" s="262" t="s">
        <v>699</v>
      </c>
    </row>
    <row r="182" spans="1:17" ht="62.5" customHeight="1" x14ac:dyDescent="0.35">
      <c r="A182" s="2">
        <v>2</v>
      </c>
      <c r="B182" s="436" t="s">
        <v>704</v>
      </c>
      <c r="C182" s="437"/>
      <c r="D182" s="51">
        <v>0.6</v>
      </c>
      <c r="E182" s="264" t="s">
        <v>235</v>
      </c>
      <c r="F182" s="140">
        <v>210</v>
      </c>
      <c r="G182" s="135">
        <f t="shared" si="80"/>
        <v>126</v>
      </c>
      <c r="H182" s="345">
        <v>127</v>
      </c>
      <c r="I182" s="136">
        <f t="shared" si="81"/>
        <v>60.476190476190474</v>
      </c>
      <c r="J182" s="150">
        <f t="shared" si="82"/>
        <v>100</v>
      </c>
      <c r="K182" s="150"/>
      <c r="L182" s="24"/>
      <c r="M182" s="494"/>
      <c r="N182" s="494"/>
      <c r="O182" s="494"/>
      <c r="Q182" s="262" t="s">
        <v>700</v>
      </c>
    </row>
    <row r="183" spans="1:17" ht="51" customHeight="1" x14ac:dyDescent="0.35">
      <c r="A183" s="2">
        <v>3</v>
      </c>
      <c r="B183" s="436" t="s">
        <v>705</v>
      </c>
      <c r="C183" s="437"/>
      <c r="D183" s="51">
        <v>1</v>
      </c>
      <c r="E183" s="264" t="s">
        <v>235</v>
      </c>
      <c r="F183" s="140">
        <v>0</v>
      </c>
      <c r="G183" s="135">
        <f t="shared" si="80"/>
        <v>0</v>
      </c>
      <c r="H183" s="345">
        <v>0</v>
      </c>
      <c r="I183" s="136">
        <v>0</v>
      </c>
      <c r="J183" s="150">
        <v>0</v>
      </c>
      <c r="K183" s="150"/>
      <c r="L183" s="24"/>
      <c r="M183" s="494"/>
      <c r="N183" s="494"/>
      <c r="O183" s="494"/>
      <c r="Q183" s="262" t="s">
        <v>701</v>
      </c>
    </row>
    <row r="184" spans="1:17" ht="50.5" customHeight="1" x14ac:dyDescent="0.35">
      <c r="A184" s="2">
        <v>4</v>
      </c>
      <c r="B184" s="436" t="s">
        <v>706</v>
      </c>
      <c r="C184" s="437"/>
      <c r="D184" s="51">
        <v>0.1</v>
      </c>
      <c r="E184" s="264" t="s">
        <v>235</v>
      </c>
      <c r="F184" s="140">
        <v>0</v>
      </c>
      <c r="G184" s="135">
        <f t="shared" si="80"/>
        <v>0</v>
      </c>
      <c r="H184" s="347">
        <v>0</v>
      </c>
      <c r="I184" s="136">
        <v>0</v>
      </c>
      <c r="J184" s="150">
        <v>0</v>
      </c>
      <c r="K184" s="150"/>
      <c r="L184" s="24"/>
      <c r="M184" s="494"/>
      <c r="N184" s="494"/>
      <c r="O184" s="494"/>
      <c r="Q184" s="263" t="s">
        <v>702</v>
      </c>
    </row>
    <row r="185" spans="1:17" ht="48.65" customHeight="1" x14ac:dyDescent="0.35">
      <c r="A185" s="408" t="s">
        <v>527</v>
      </c>
      <c r="B185" s="408"/>
      <c r="C185" s="408"/>
      <c r="D185" s="53"/>
      <c r="E185" s="53"/>
      <c r="F185" s="160"/>
      <c r="G185" s="140"/>
      <c r="H185" s="140"/>
      <c r="I185" s="150"/>
      <c r="J185" s="150"/>
      <c r="L185" s="161">
        <f>AVERAGE(J186:J189)</f>
        <v>100</v>
      </c>
      <c r="M185" s="494"/>
      <c r="N185" s="494"/>
      <c r="O185" s="494"/>
      <c r="Q185" s="38"/>
    </row>
    <row r="186" spans="1:17" ht="53.15" customHeight="1" x14ac:dyDescent="0.35">
      <c r="A186" s="253" t="s">
        <v>169</v>
      </c>
      <c r="B186" s="411" t="s">
        <v>421</v>
      </c>
      <c r="C186" s="412"/>
      <c r="D186" s="269">
        <v>0.7</v>
      </c>
      <c r="E186" s="50" t="s">
        <v>436</v>
      </c>
      <c r="F186" s="162">
        <v>1378</v>
      </c>
      <c r="G186" s="140">
        <f t="shared" ref="G186:G189" si="83">D186*F186</f>
        <v>964.59999999999991</v>
      </c>
      <c r="H186" s="347">
        <v>1097</v>
      </c>
      <c r="I186" s="150">
        <f t="shared" ref="I186:I189" si="84">H186/F186*100</f>
        <v>79.608127721335265</v>
      </c>
      <c r="J186" s="164">
        <f>IF(H186/G186*100&gt;=100,100,IF(H186/G186*100&lt;100,H186/G186*100))</f>
        <v>100</v>
      </c>
      <c r="K186" s="150"/>
      <c r="L186" s="24"/>
      <c r="M186" s="494"/>
      <c r="N186" s="494"/>
      <c r="O186" s="494"/>
      <c r="Q186" s="216" t="s">
        <v>820</v>
      </c>
    </row>
    <row r="187" spans="1:17" ht="54" customHeight="1" x14ac:dyDescent="0.35">
      <c r="A187" s="253" t="s">
        <v>215</v>
      </c>
      <c r="B187" s="411" t="s">
        <v>422</v>
      </c>
      <c r="C187" s="412"/>
      <c r="D187" s="269">
        <v>0.5</v>
      </c>
      <c r="E187" s="50" t="s">
        <v>436</v>
      </c>
      <c r="F187" s="140">
        <v>826</v>
      </c>
      <c r="G187" s="140">
        <f t="shared" si="83"/>
        <v>413</v>
      </c>
      <c r="H187" s="347">
        <v>457</v>
      </c>
      <c r="I187" s="150">
        <f t="shared" si="84"/>
        <v>55.326876513317188</v>
      </c>
      <c r="J187" s="164">
        <f>IF(H187/G187*100&gt;=100,100,IF(H187/G187*100&lt;100,H187/G187*100))</f>
        <v>100</v>
      </c>
      <c r="K187" s="150"/>
      <c r="L187" s="24"/>
      <c r="M187" s="494"/>
      <c r="N187" s="494"/>
      <c r="O187" s="494"/>
      <c r="Q187" s="216" t="s">
        <v>423</v>
      </c>
    </row>
    <row r="188" spans="1:17" ht="45" customHeight="1" x14ac:dyDescent="0.35">
      <c r="A188" s="268" t="s">
        <v>183</v>
      </c>
      <c r="B188" s="411" t="s">
        <v>424</v>
      </c>
      <c r="C188" s="412"/>
      <c r="D188" s="269">
        <v>0.6</v>
      </c>
      <c r="E188" s="50" t="s">
        <v>437</v>
      </c>
      <c r="F188" s="140">
        <v>127</v>
      </c>
      <c r="G188" s="140">
        <f t="shared" si="83"/>
        <v>76.2</v>
      </c>
      <c r="H188" s="347">
        <v>98</v>
      </c>
      <c r="I188" s="150">
        <f t="shared" si="84"/>
        <v>77.165354330708652</v>
      </c>
      <c r="J188" s="164">
        <f>IF(H188/G188*100&gt;=100,100,IF(H188/G188*100&lt;100,H188/G188*100))</f>
        <v>100</v>
      </c>
      <c r="K188" s="150"/>
      <c r="L188" s="24"/>
      <c r="M188" s="494"/>
      <c r="N188" s="494"/>
      <c r="O188" s="494"/>
      <c r="Q188" s="216" t="s">
        <v>425</v>
      </c>
    </row>
    <row r="189" spans="1:17" ht="60" customHeight="1" x14ac:dyDescent="0.35">
      <c r="A189" s="253" t="s">
        <v>245</v>
      </c>
      <c r="B189" s="411" t="s">
        <v>426</v>
      </c>
      <c r="C189" s="412"/>
      <c r="D189" s="269">
        <v>0.5</v>
      </c>
      <c r="E189" s="50" t="s">
        <v>301</v>
      </c>
      <c r="F189" s="140">
        <v>8</v>
      </c>
      <c r="G189" s="140">
        <f t="shared" si="83"/>
        <v>4</v>
      </c>
      <c r="H189" s="345">
        <v>6</v>
      </c>
      <c r="I189" s="150">
        <f t="shared" si="84"/>
        <v>75</v>
      </c>
      <c r="J189" s="164">
        <f>IF(H189/G189*100&gt;=100,100,IF(H189/G189*100&lt;100,H189/G189*100))</f>
        <v>100</v>
      </c>
      <c r="K189" s="150"/>
      <c r="L189" s="24"/>
      <c r="M189" s="494"/>
      <c r="N189" s="494"/>
      <c r="O189" s="494"/>
      <c r="Q189" s="216" t="s">
        <v>427</v>
      </c>
    </row>
    <row r="192" spans="1:17" ht="17.5" x14ac:dyDescent="0.35">
      <c r="A192" s="107"/>
      <c r="B192" s="104" t="s">
        <v>303</v>
      </c>
      <c r="C192" s="102"/>
      <c r="D192" s="106"/>
      <c r="E192" s="107"/>
      <c r="F192" s="107"/>
      <c r="G192" s="107"/>
      <c r="H192" s="107"/>
      <c r="I192" s="107"/>
      <c r="J192" s="107"/>
      <c r="K192" s="107"/>
      <c r="L192" s="107"/>
      <c r="M192" s="497"/>
      <c r="N192" s="497"/>
      <c r="O192" s="497"/>
    </row>
    <row r="193" spans="1:15" ht="17.5" x14ac:dyDescent="0.35">
      <c r="A193" s="92"/>
      <c r="B193" s="70"/>
      <c r="C193" s="108"/>
      <c r="D193" s="70"/>
      <c r="E193" s="92"/>
      <c r="F193" s="107"/>
      <c r="G193" s="109"/>
      <c r="H193" s="107"/>
      <c r="I193" s="109"/>
      <c r="J193" s="109"/>
      <c r="K193" s="109"/>
      <c r="L193" s="109"/>
      <c r="M193" s="109"/>
      <c r="N193" s="109"/>
      <c r="O193" s="109"/>
    </row>
    <row r="194" spans="1:15" ht="17.5" x14ac:dyDescent="0.35">
      <c r="A194" s="92"/>
      <c r="B194" s="70"/>
      <c r="C194" s="110" t="s">
        <v>304</v>
      </c>
      <c r="D194" s="110"/>
      <c r="E194" s="92"/>
      <c r="F194" s="70"/>
      <c r="G194" s="70"/>
      <c r="H194" s="70"/>
      <c r="I194" s="70"/>
      <c r="J194" s="70"/>
      <c r="K194" s="70"/>
      <c r="L194" s="70"/>
      <c r="M194" s="497"/>
      <c r="N194" s="497"/>
      <c r="O194" s="497"/>
    </row>
    <row r="195" spans="1:15" ht="17.5" x14ac:dyDescent="0.35">
      <c r="A195" s="92"/>
      <c r="B195" s="70"/>
      <c r="C195" s="395" t="s">
        <v>305</v>
      </c>
      <c r="D195" s="395"/>
      <c r="E195" s="111" t="s">
        <v>306</v>
      </c>
      <c r="F195" s="70"/>
      <c r="G195" s="70"/>
      <c r="H195" s="70"/>
      <c r="I195" s="70"/>
      <c r="J195" s="70"/>
      <c r="K195" s="70"/>
      <c r="L195" s="70"/>
      <c r="M195" s="497"/>
      <c r="N195" s="497"/>
      <c r="O195" s="497"/>
    </row>
    <row r="196" spans="1:15" ht="17.5" x14ac:dyDescent="0.35">
      <c r="A196" s="92"/>
      <c r="B196" s="70"/>
      <c r="C196" s="395" t="s">
        <v>307</v>
      </c>
      <c r="D196" s="395"/>
      <c r="E196" s="112" t="s">
        <v>308</v>
      </c>
      <c r="F196" s="70"/>
      <c r="G196" s="70"/>
      <c r="H196" s="70"/>
      <c r="I196" s="70"/>
      <c r="J196" s="70"/>
      <c r="K196" s="70"/>
      <c r="L196" s="70"/>
      <c r="M196" s="497"/>
      <c r="N196" s="497"/>
      <c r="O196" s="497"/>
    </row>
    <row r="197" spans="1:15" ht="17.5" x14ac:dyDescent="0.35">
      <c r="A197" s="92"/>
      <c r="B197" s="70"/>
      <c r="C197" s="395" t="s">
        <v>309</v>
      </c>
      <c r="D197" s="395"/>
      <c r="E197" s="111" t="s">
        <v>310</v>
      </c>
      <c r="F197" s="70"/>
      <c r="G197" s="70"/>
      <c r="H197" s="70"/>
      <c r="I197" s="70"/>
      <c r="J197" s="70"/>
      <c r="K197" s="70"/>
      <c r="L197" s="70"/>
      <c r="M197" s="497"/>
      <c r="N197" s="497"/>
      <c r="O197" s="497"/>
    </row>
    <row r="198" spans="1:15" ht="17.5" x14ac:dyDescent="0.35">
      <c r="A198" s="92"/>
      <c r="B198" s="70"/>
      <c r="C198" s="70"/>
      <c r="D198" s="70"/>
      <c r="E198" s="92"/>
      <c r="F198" s="70"/>
      <c r="G198" s="70"/>
      <c r="H198" s="70"/>
      <c r="I198" s="70"/>
      <c r="J198" s="70"/>
      <c r="K198" s="70"/>
      <c r="L198" s="70"/>
      <c r="M198" s="497"/>
      <c r="N198" s="497"/>
      <c r="O198" s="497"/>
    </row>
    <row r="199" spans="1:15" ht="28.5" x14ac:dyDescent="0.35">
      <c r="A199" s="92"/>
      <c r="B199" s="71" t="s">
        <v>311</v>
      </c>
      <c r="C199" s="72" t="s">
        <v>312</v>
      </c>
      <c r="D199" s="73"/>
      <c r="E199" s="93"/>
      <c r="F199" s="74"/>
      <c r="G199" s="74"/>
      <c r="H199" s="75"/>
      <c r="I199" s="75"/>
      <c r="J199" s="75"/>
      <c r="K199" s="75"/>
      <c r="L199" s="75"/>
      <c r="M199" s="498"/>
      <c r="N199" s="498"/>
      <c r="O199" s="497"/>
    </row>
    <row r="200" spans="1:15" ht="17.5" x14ac:dyDescent="0.35">
      <c r="A200" s="92"/>
      <c r="B200" s="69">
        <v>2</v>
      </c>
      <c r="C200" s="393" t="s">
        <v>313</v>
      </c>
      <c r="D200" s="394"/>
      <c r="E200" s="394"/>
      <c r="F200" s="394"/>
      <c r="G200" s="394"/>
      <c r="H200" s="394"/>
      <c r="I200" s="394"/>
      <c r="J200" s="394"/>
      <c r="K200" s="394"/>
      <c r="L200" s="394"/>
      <c r="M200" s="394"/>
      <c r="N200" s="394"/>
      <c r="O200" s="497"/>
    </row>
    <row r="201" spans="1:15" ht="17.5" x14ac:dyDescent="0.35">
      <c r="A201" s="92"/>
      <c r="B201" s="69"/>
      <c r="C201" s="76" t="s">
        <v>314</v>
      </c>
      <c r="D201" s="76"/>
      <c r="E201" s="85"/>
      <c r="F201" s="76"/>
      <c r="G201" s="76"/>
      <c r="H201" s="76"/>
      <c r="I201" s="76"/>
      <c r="J201" s="76"/>
      <c r="K201" s="76"/>
      <c r="L201" s="76"/>
      <c r="M201" s="499"/>
      <c r="N201" s="499"/>
      <c r="O201" s="497"/>
    </row>
    <row r="202" spans="1:15" ht="17.5" x14ac:dyDescent="0.35">
      <c r="A202" s="92"/>
      <c r="B202" s="69"/>
      <c r="C202" s="76" t="s">
        <v>315</v>
      </c>
      <c r="D202" s="76"/>
      <c r="E202" s="85"/>
      <c r="F202" s="76"/>
      <c r="G202" s="76"/>
      <c r="H202" s="76"/>
      <c r="I202" s="76"/>
      <c r="J202" s="76"/>
      <c r="K202" s="76"/>
      <c r="L202" s="76"/>
      <c r="M202" s="499"/>
      <c r="N202" s="499"/>
      <c r="O202" s="497"/>
    </row>
    <row r="203" spans="1:15" ht="17.5" x14ac:dyDescent="0.35">
      <c r="A203" s="92"/>
      <c r="B203" s="69"/>
      <c r="C203" s="391" t="s">
        <v>316</v>
      </c>
      <c r="D203" s="392"/>
      <c r="E203" s="392"/>
      <c r="F203" s="392"/>
      <c r="G203" s="392"/>
      <c r="H203" s="392"/>
      <c r="I203" s="392"/>
      <c r="J203" s="392"/>
      <c r="K203" s="392"/>
      <c r="L203" s="392"/>
      <c r="M203" s="392"/>
      <c r="N203" s="392"/>
      <c r="O203" s="497"/>
    </row>
    <row r="204" spans="1:15" ht="17.5" x14ac:dyDescent="0.35">
      <c r="A204" s="92"/>
      <c r="B204" s="69">
        <v>3</v>
      </c>
      <c r="C204" s="76" t="s">
        <v>818</v>
      </c>
      <c r="D204" s="76"/>
      <c r="E204" s="85"/>
      <c r="F204" s="76"/>
      <c r="G204" s="76"/>
      <c r="H204" s="76"/>
      <c r="I204" s="76"/>
      <c r="J204" s="76"/>
      <c r="K204" s="76"/>
      <c r="L204" s="76"/>
      <c r="M204" s="499"/>
      <c r="N204" s="499"/>
      <c r="O204" s="497"/>
    </row>
    <row r="205" spans="1:15" ht="17.5" x14ac:dyDescent="0.35">
      <c r="A205" s="92"/>
      <c r="B205" s="69">
        <v>4</v>
      </c>
      <c r="C205" s="78" t="s">
        <v>317</v>
      </c>
      <c r="D205" s="78"/>
      <c r="E205" s="85"/>
      <c r="F205" s="78"/>
      <c r="G205" s="78"/>
      <c r="H205" s="77"/>
      <c r="I205" s="77"/>
      <c r="J205" s="77"/>
      <c r="K205" s="77"/>
      <c r="L205" s="77"/>
      <c r="M205" s="499"/>
      <c r="N205" s="499"/>
      <c r="O205" s="497"/>
    </row>
    <row r="206" spans="1:15" ht="17.5" x14ac:dyDescent="0.35">
      <c r="A206" s="92"/>
      <c r="B206" s="69">
        <v>5</v>
      </c>
      <c r="C206" s="78" t="s">
        <v>318</v>
      </c>
      <c r="D206" s="78"/>
      <c r="E206" s="85"/>
      <c r="F206" s="78"/>
      <c r="G206" s="78"/>
      <c r="H206" s="77"/>
      <c r="I206" s="77"/>
      <c r="J206" s="77"/>
      <c r="K206" s="77"/>
      <c r="L206" s="77"/>
      <c r="M206" s="499"/>
      <c r="N206" s="499"/>
      <c r="O206" s="497"/>
    </row>
    <row r="207" spans="1:15" ht="17.5" x14ac:dyDescent="0.35">
      <c r="A207" s="92"/>
      <c r="B207" s="69">
        <v>6</v>
      </c>
      <c r="C207" s="393" t="s">
        <v>823</v>
      </c>
      <c r="D207" s="394"/>
      <c r="E207" s="394"/>
      <c r="F207" s="394"/>
      <c r="G207" s="394"/>
      <c r="H207" s="394"/>
      <c r="I207" s="394"/>
      <c r="J207" s="394"/>
      <c r="K207" s="394"/>
      <c r="L207" s="394"/>
      <c r="M207" s="500"/>
      <c r="N207" s="500"/>
      <c r="O207" s="497"/>
    </row>
    <row r="208" spans="1:15" ht="17.5" x14ac:dyDescent="0.35">
      <c r="A208" s="92"/>
      <c r="B208" s="69">
        <v>7</v>
      </c>
      <c r="C208" s="76" t="s">
        <v>319</v>
      </c>
      <c r="D208" s="73"/>
      <c r="E208" s="94"/>
      <c r="F208" s="73"/>
      <c r="G208" s="73"/>
      <c r="H208" s="73"/>
      <c r="I208" s="73"/>
      <c r="J208" s="73"/>
      <c r="K208" s="73"/>
      <c r="L208" s="73"/>
      <c r="M208" s="500"/>
      <c r="N208" s="500"/>
      <c r="O208" s="497"/>
    </row>
    <row r="209" spans="1:15" ht="17.5" x14ac:dyDescent="0.35">
      <c r="A209" s="92"/>
      <c r="B209" s="69">
        <v>8</v>
      </c>
      <c r="C209" s="76" t="s">
        <v>320</v>
      </c>
      <c r="D209" s="73"/>
      <c r="E209" s="94"/>
      <c r="F209" s="73"/>
      <c r="G209" s="73"/>
      <c r="H209" s="73"/>
      <c r="I209" s="73"/>
      <c r="J209" s="73"/>
      <c r="K209" s="73"/>
      <c r="L209" s="73"/>
      <c r="M209" s="500"/>
      <c r="N209" s="500"/>
      <c r="O209" s="497"/>
    </row>
    <row r="210" spans="1:15" ht="17.5" x14ac:dyDescent="0.35">
      <c r="A210" s="92"/>
      <c r="B210" s="79" t="s">
        <v>321</v>
      </c>
      <c r="C210" s="76" t="s">
        <v>322</v>
      </c>
      <c r="D210" s="73"/>
      <c r="E210" s="94"/>
      <c r="F210" s="73"/>
      <c r="G210" s="73"/>
      <c r="H210" s="73"/>
      <c r="I210" s="73"/>
      <c r="J210" s="73"/>
      <c r="K210" s="73"/>
      <c r="L210" s="73"/>
      <c r="M210" s="500"/>
      <c r="N210" s="500"/>
      <c r="O210" s="497"/>
    </row>
    <row r="211" spans="1:15" ht="17.5" x14ac:dyDescent="0.35">
      <c r="A211" s="92"/>
      <c r="B211" s="69">
        <v>9</v>
      </c>
      <c r="C211" s="76" t="s">
        <v>323</v>
      </c>
      <c r="D211" s="73"/>
      <c r="E211" s="94"/>
      <c r="F211" s="73"/>
      <c r="G211" s="73"/>
      <c r="H211" s="73"/>
      <c r="I211" s="73"/>
      <c r="J211" s="73"/>
      <c r="K211" s="73"/>
      <c r="L211" s="73"/>
      <c r="M211" s="500"/>
      <c r="N211" s="500"/>
      <c r="O211" s="497"/>
    </row>
    <row r="212" spans="1:15" ht="17.5" x14ac:dyDescent="0.35">
      <c r="A212" s="92"/>
      <c r="B212" s="69">
        <v>10</v>
      </c>
      <c r="C212" s="76" t="s">
        <v>324</v>
      </c>
      <c r="D212" s="73"/>
      <c r="E212" s="94"/>
      <c r="F212" s="73"/>
      <c r="G212" s="73"/>
      <c r="H212" s="73"/>
      <c r="I212" s="73"/>
      <c r="J212" s="73"/>
      <c r="K212" s="73"/>
      <c r="L212" s="73"/>
      <c r="M212" s="500"/>
      <c r="N212" s="500"/>
      <c r="O212" s="497"/>
    </row>
    <row r="213" spans="1:15" ht="17.5" x14ac:dyDescent="0.35">
      <c r="A213" s="92"/>
      <c r="B213" s="69"/>
      <c r="C213" s="76" t="s">
        <v>325</v>
      </c>
      <c r="D213" s="73"/>
      <c r="E213" s="94"/>
      <c r="F213" s="73"/>
      <c r="G213" s="73"/>
      <c r="H213" s="73"/>
      <c r="I213" s="73"/>
      <c r="J213" s="73"/>
      <c r="K213" s="73"/>
      <c r="L213" s="73"/>
      <c r="M213" s="500"/>
      <c r="N213" s="500"/>
      <c r="O213" s="497"/>
    </row>
    <row r="214" spans="1:15" ht="17.5" x14ac:dyDescent="0.35">
      <c r="A214" s="92"/>
      <c r="B214" s="69">
        <v>11</v>
      </c>
      <c r="C214" s="76" t="s">
        <v>326</v>
      </c>
      <c r="D214" s="73"/>
      <c r="E214" s="94"/>
      <c r="F214" s="73"/>
      <c r="G214" s="73"/>
      <c r="H214" s="73"/>
      <c r="I214" s="73"/>
      <c r="J214" s="73"/>
      <c r="K214" s="73"/>
      <c r="L214" s="73"/>
      <c r="M214" s="500"/>
      <c r="N214" s="500"/>
      <c r="O214" s="497"/>
    </row>
    <row r="215" spans="1:15" ht="17.5" x14ac:dyDescent="0.35">
      <c r="A215" s="92"/>
      <c r="B215" s="69">
        <v>12</v>
      </c>
      <c r="C215" s="73" t="s">
        <v>824</v>
      </c>
      <c r="D215" s="73"/>
      <c r="E215" s="94"/>
      <c r="F215" s="73"/>
      <c r="G215" s="73"/>
      <c r="H215" s="73"/>
      <c r="I215" s="73"/>
      <c r="J215" s="73"/>
      <c r="K215" s="73"/>
      <c r="L215" s="73"/>
      <c r="M215" s="500"/>
      <c r="N215" s="500"/>
      <c r="O215" s="497"/>
    </row>
    <row r="216" spans="1:15" ht="17.5" x14ac:dyDescent="0.35">
      <c r="A216" s="92"/>
      <c r="B216" s="69">
        <v>13</v>
      </c>
      <c r="C216" s="80" t="s">
        <v>327</v>
      </c>
      <c r="D216" s="81"/>
      <c r="E216" s="69"/>
      <c r="F216" s="81"/>
      <c r="G216" s="82"/>
      <c r="H216" s="73"/>
      <c r="I216" s="73"/>
      <c r="J216" s="73"/>
      <c r="K216" s="73"/>
      <c r="L216" s="73"/>
      <c r="M216" s="500"/>
      <c r="N216" s="501"/>
      <c r="O216" s="497"/>
    </row>
    <row r="217" spans="1:15" ht="17.5" x14ac:dyDescent="0.35">
      <c r="A217" s="92"/>
      <c r="B217" s="69">
        <v>14</v>
      </c>
      <c r="C217" s="80" t="s">
        <v>328</v>
      </c>
      <c r="D217" s="81"/>
      <c r="E217" s="69"/>
      <c r="F217" s="81"/>
      <c r="G217" s="82"/>
      <c r="H217" s="73"/>
      <c r="I217" s="73"/>
      <c r="J217" s="73"/>
      <c r="K217" s="73"/>
      <c r="L217" s="73"/>
      <c r="M217" s="500"/>
      <c r="N217" s="501"/>
      <c r="O217" s="497"/>
    </row>
  </sheetData>
  <mergeCells count="183">
    <mergeCell ref="O107:Q107"/>
    <mergeCell ref="A96:C96"/>
    <mergeCell ref="B122:C122"/>
    <mergeCell ref="B124:C124"/>
    <mergeCell ref="B123:C123"/>
    <mergeCell ref="B121:C121"/>
    <mergeCell ref="B38:C38"/>
    <mergeCell ref="B67:C67"/>
    <mergeCell ref="B68:C68"/>
    <mergeCell ref="B41:C41"/>
    <mergeCell ref="B42:C42"/>
    <mergeCell ref="B44:C44"/>
    <mergeCell ref="B45:C45"/>
    <mergeCell ref="B47:C47"/>
    <mergeCell ref="B48:C48"/>
    <mergeCell ref="B49:C49"/>
    <mergeCell ref="B51:C51"/>
    <mergeCell ref="B52:C52"/>
    <mergeCell ref="B53:C53"/>
    <mergeCell ref="B56:C56"/>
    <mergeCell ref="B57:C57"/>
    <mergeCell ref="B58:C58"/>
    <mergeCell ref="A55:C55"/>
    <mergeCell ref="A61:C61"/>
    <mergeCell ref="B39:C39"/>
    <mergeCell ref="B101:C101"/>
    <mergeCell ref="B97:C97"/>
    <mergeCell ref="B98:C98"/>
    <mergeCell ref="B99:C99"/>
    <mergeCell ref="B100:C100"/>
    <mergeCell ref="B137:C137"/>
    <mergeCell ref="B126:C126"/>
    <mergeCell ref="B129:C129"/>
    <mergeCell ref="B130:C130"/>
    <mergeCell ref="B132:C132"/>
    <mergeCell ref="B133:C133"/>
    <mergeCell ref="B135:C135"/>
    <mergeCell ref="B127:C127"/>
    <mergeCell ref="B134:C134"/>
    <mergeCell ref="A103:C103"/>
    <mergeCell ref="B109:C109"/>
    <mergeCell ref="B108:C108"/>
    <mergeCell ref="B143:C143"/>
    <mergeCell ref="B144:C144"/>
    <mergeCell ref="B162:C162"/>
    <mergeCell ref="B163:C163"/>
    <mergeCell ref="B157:C157"/>
    <mergeCell ref="B159:C159"/>
    <mergeCell ref="B160:C160"/>
    <mergeCell ref="B161:C161"/>
    <mergeCell ref="A158:D158"/>
    <mergeCell ref="B189:C189"/>
    <mergeCell ref="B186:C186"/>
    <mergeCell ref="B187:C187"/>
    <mergeCell ref="A185:C185"/>
    <mergeCell ref="B188:C188"/>
    <mergeCell ref="B181:C181"/>
    <mergeCell ref="B182:C182"/>
    <mergeCell ref="B183:C183"/>
    <mergeCell ref="B184:C184"/>
    <mergeCell ref="B95:C95"/>
    <mergeCell ref="A139:D139"/>
    <mergeCell ref="B150:C150"/>
    <mergeCell ref="B151:C151"/>
    <mergeCell ref="B138:C138"/>
    <mergeCell ref="B145:C145"/>
    <mergeCell ref="B146:C146"/>
    <mergeCell ref="B104:C104"/>
    <mergeCell ref="B105:C105"/>
    <mergeCell ref="B106:C106"/>
    <mergeCell ref="B111:C111"/>
    <mergeCell ref="B112:C112"/>
    <mergeCell ref="A113:C113"/>
    <mergeCell ref="B116:C116"/>
    <mergeCell ref="A120:D120"/>
    <mergeCell ref="B114:C114"/>
    <mergeCell ref="B115:C115"/>
    <mergeCell ref="B117:C117"/>
    <mergeCell ref="B118:C118"/>
    <mergeCell ref="B119:C119"/>
    <mergeCell ref="A110:D110"/>
    <mergeCell ref="B140:C140"/>
    <mergeCell ref="B141:C141"/>
    <mergeCell ref="B142:C142"/>
    <mergeCell ref="B76:C76"/>
    <mergeCell ref="B77:C77"/>
    <mergeCell ref="A91:C91"/>
    <mergeCell ref="B88:C88"/>
    <mergeCell ref="B89:C89"/>
    <mergeCell ref="B90:C90"/>
    <mergeCell ref="B94:C94"/>
    <mergeCell ref="B83:C83"/>
    <mergeCell ref="B84:C84"/>
    <mergeCell ref="B85:C85"/>
    <mergeCell ref="B92:C92"/>
    <mergeCell ref="B93:C93"/>
    <mergeCell ref="A1:E1"/>
    <mergeCell ref="D2:E2"/>
    <mergeCell ref="A14:C14"/>
    <mergeCell ref="A18:C18"/>
    <mergeCell ref="A35:C35"/>
    <mergeCell ref="B30:C30"/>
    <mergeCell ref="B32:C32"/>
    <mergeCell ref="B33:C33"/>
    <mergeCell ref="B36:C36"/>
    <mergeCell ref="A5:A6"/>
    <mergeCell ref="B5:C6"/>
    <mergeCell ref="D5:D6"/>
    <mergeCell ref="B24:C24"/>
    <mergeCell ref="B25:C25"/>
    <mergeCell ref="A3:O3"/>
    <mergeCell ref="B21:C21"/>
    <mergeCell ref="B23:C23"/>
    <mergeCell ref="B26:C26"/>
    <mergeCell ref="B28:C28"/>
    <mergeCell ref="B29:C29"/>
    <mergeCell ref="B11:C11"/>
    <mergeCell ref="B12:C12"/>
    <mergeCell ref="B13:C13"/>
    <mergeCell ref="B19:C19"/>
    <mergeCell ref="Q5:Q6"/>
    <mergeCell ref="O5:O6"/>
    <mergeCell ref="E5:E6"/>
    <mergeCell ref="B7:C7"/>
    <mergeCell ref="F5:F6"/>
    <mergeCell ref="G5:G6"/>
    <mergeCell ref="H5:H6"/>
    <mergeCell ref="I5:I6"/>
    <mergeCell ref="J5:L5"/>
    <mergeCell ref="M5:M6"/>
    <mergeCell ref="N5:N6"/>
    <mergeCell ref="B37:C37"/>
    <mergeCell ref="B20:C20"/>
    <mergeCell ref="B15:C15"/>
    <mergeCell ref="B16:C16"/>
    <mergeCell ref="B17:C17"/>
    <mergeCell ref="B70:C70"/>
    <mergeCell ref="B71:C71"/>
    <mergeCell ref="B72:C72"/>
    <mergeCell ref="B73:C73"/>
    <mergeCell ref="B59:C59"/>
    <mergeCell ref="B60:C60"/>
    <mergeCell ref="B62:C62"/>
    <mergeCell ref="B63:C63"/>
    <mergeCell ref="B64:C64"/>
    <mergeCell ref="B65:C65"/>
    <mergeCell ref="C203:N203"/>
    <mergeCell ref="C207:L207"/>
    <mergeCell ref="C195:D195"/>
    <mergeCell ref="A43:E43"/>
    <mergeCell ref="A102:E102"/>
    <mergeCell ref="A87:E87"/>
    <mergeCell ref="A78:E78"/>
    <mergeCell ref="A40:E40"/>
    <mergeCell ref="A50:E50"/>
    <mergeCell ref="C196:D196"/>
    <mergeCell ref="C197:D197"/>
    <mergeCell ref="C200:N200"/>
    <mergeCell ref="B152:C152"/>
    <mergeCell ref="B153:C153"/>
    <mergeCell ref="B154:C154"/>
    <mergeCell ref="B155:C155"/>
    <mergeCell ref="B147:C147"/>
    <mergeCell ref="B148:C148"/>
    <mergeCell ref="B74:C74"/>
    <mergeCell ref="B79:C79"/>
    <mergeCell ref="B80:C80"/>
    <mergeCell ref="B81:C81"/>
    <mergeCell ref="B82:C82"/>
    <mergeCell ref="A75:C75"/>
    <mergeCell ref="B167:C167"/>
    <mergeCell ref="A156:E156"/>
    <mergeCell ref="A178:E178"/>
    <mergeCell ref="B179:C179"/>
    <mergeCell ref="B169:C169"/>
    <mergeCell ref="B170:C170"/>
    <mergeCell ref="A171:E171"/>
    <mergeCell ref="B172:C172"/>
    <mergeCell ref="B174:C174"/>
    <mergeCell ref="B176:C176"/>
    <mergeCell ref="B177:C177"/>
    <mergeCell ref="B165:C165"/>
    <mergeCell ref="B166:C166"/>
  </mergeCells>
  <pageMargins left="0.7" right="0.7" top="0.75" bottom="0.75" header="0.3" footer="0.3"/>
  <pageSetup paperSize="14" scale="56"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8"/>
  <sheetViews>
    <sheetView view="pageBreakPreview" zoomScale="52" zoomScaleNormal="51" zoomScaleSheetLayoutView="52" workbookViewId="0">
      <selection activeCell="H25" sqref="H25"/>
    </sheetView>
  </sheetViews>
  <sheetFormatPr defaultRowHeight="14.5" x14ac:dyDescent="0.35"/>
  <cols>
    <col min="1" max="1" width="5.453125" customWidth="1"/>
    <col min="2" max="2" width="9.453125" customWidth="1"/>
    <col min="3" max="3" width="33.1796875" customWidth="1"/>
    <col min="4" max="4" width="21.453125" customWidth="1"/>
    <col min="5" max="5" width="11.453125" customWidth="1"/>
    <col min="6" max="6" width="10.453125" style="29" customWidth="1"/>
    <col min="7" max="7" width="8.81640625" style="29"/>
    <col min="8" max="8" width="14.1796875" style="29" customWidth="1"/>
    <col min="9" max="9" width="13.54296875" customWidth="1"/>
    <col min="10" max="10" width="12.81640625" customWidth="1"/>
    <col min="11" max="11" width="13.54296875" customWidth="1"/>
    <col min="12" max="12" width="14.453125" style="29" customWidth="1"/>
    <col min="13" max="13" width="18.54296875" customWidth="1"/>
    <col min="14" max="14" width="15.1796875" customWidth="1"/>
    <col min="15" max="15" width="14.1796875" customWidth="1"/>
    <col min="18" max="18" width="8.81640625" customWidth="1"/>
  </cols>
  <sheetData>
    <row r="1" spans="1:15" ht="15" x14ac:dyDescent="0.35">
      <c r="A1" s="447" t="s">
        <v>439</v>
      </c>
      <c r="B1" s="447"/>
      <c r="C1" s="447"/>
      <c r="D1" s="447"/>
      <c r="E1" s="447"/>
      <c r="F1" s="447"/>
      <c r="G1" s="447"/>
      <c r="H1" s="447"/>
      <c r="I1" s="447"/>
      <c r="J1" s="447"/>
      <c r="K1" s="447"/>
      <c r="L1" s="447"/>
      <c r="M1" s="447"/>
      <c r="N1" s="447"/>
      <c r="O1" s="447"/>
    </row>
    <row r="2" spans="1:15" ht="15" x14ac:dyDescent="0.35">
      <c r="A2" s="448" t="s">
        <v>459</v>
      </c>
      <c r="B2" s="448"/>
      <c r="C2" s="448"/>
      <c r="D2" s="448"/>
      <c r="E2" s="448"/>
      <c r="F2" s="448"/>
      <c r="G2" s="448"/>
      <c r="H2" s="448"/>
      <c r="I2" s="448"/>
      <c r="J2" s="448"/>
      <c r="K2" s="448"/>
      <c r="L2" s="448"/>
      <c r="M2" s="448"/>
      <c r="N2" s="448"/>
      <c r="O2" s="448"/>
    </row>
    <row r="3" spans="1:15" x14ac:dyDescent="0.35">
      <c r="A3" s="1"/>
      <c r="B3" s="1"/>
      <c r="C3" s="1"/>
      <c r="D3" s="1"/>
      <c r="E3" s="1"/>
      <c r="F3" s="91"/>
      <c r="G3" s="91"/>
      <c r="H3" s="91"/>
      <c r="I3" s="1"/>
      <c r="J3" s="1"/>
      <c r="K3" s="1"/>
      <c r="L3" s="91"/>
      <c r="M3" s="1"/>
      <c r="N3" s="1"/>
      <c r="O3" s="1"/>
    </row>
    <row r="4" spans="1:15" ht="15" x14ac:dyDescent="0.35">
      <c r="A4" s="449" t="s">
        <v>1</v>
      </c>
      <c r="B4" s="420" t="s">
        <v>193</v>
      </c>
      <c r="C4" s="420"/>
      <c r="D4" s="420" t="s">
        <v>656</v>
      </c>
      <c r="E4" s="420" t="s">
        <v>194</v>
      </c>
      <c r="F4" s="420" t="s">
        <v>460</v>
      </c>
      <c r="G4" s="420" t="s">
        <v>461</v>
      </c>
      <c r="H4" s="420" t="s">
        <v>197</v>
      </c>
      <c r="I4" s="420" t="s">
        <v>462</v>
      </c>
      <c r="J4" s="420" t="s">
        <v>199</v>
      </c>
      <c r="K4" s="420"/>
      <c r="L4" s="420"/>
      <c r="M4" s="420" t="s">
        <v>200</v>
      </c>
      <c r="N4" s="450" t="s">
        <v>201</v>
      </c>
      <c r="O4" s="420" t="s">
        <v>202</v>
      </c>
    </row>
    <row r="5" spans="1:15" ht="30" x14ac:dyDescent="0.35">
      <c r="A5" s="449"/>
      <c r="B5" s="420"/>
      <c r="C5" s="420"/>
      <c r="D5" s="420"/>
      <c r="E5" s="420"/>
      <c r="F5" s="420"/>
      <c r="G5" s="420"/>
      <c r="H5" s="420"/>
      <c r="I5" s="420"/>
      <c r="J5" s="67" t="s">
        <v>203</v>
      </c>
      <c r="K5" s="67" t="s">
        <v>204</v>
      </c>
      <c r="L5" s="67" t="s">
        <v>463</v>
      </c>
      <c r="M5" s="420"/>
      <c r="N5" s="450"/>
      <c r="O5" s="420"/>
    </row>
    <row r="6" spans="1:15" ht="15" customHeight="1" x14ac:dyDescent="0.35">
      <c r="A6" s="97" t="s">
        <v>9</v>
      </c>
      <c r="B6" s="453" t="s">
        <v>10</v>
      </c>
      <c r="C6" s="449"/>
      <c r="D6" s="7" t="s">
        <v>11</v>
      </c>
      <c r="E6" s="7" t="s">
        <v>12</v>
      </c>
      <c r="F6" s="7" t="s">
        <v>13</v>
      </c>
      <c r="G6" s="7" t="s">
        <v>14</v>
      </c>
      <c r="H6" s="7" t="s">
        <v>15</v>
      </c>
      <c r="I6" s="7" t="s">
        <v>185</v>
      </c>
      <c r="J6" s="7" t="s">
        <v>206</v>
      </c>
      <c r="K6" s="7" t="s">
        <v>207</v>
      </c>
      <c r="L6" s="7" t="s">
        <v>208</v>
      </c>
      <c r="M6" s="7" t="s">
        <v>209</v>
      </c>
      <c r="N6" s="7" t="s">
        <v>210</v>
      </c>
      <c r="O6" s="7" t="s">
        <v>211</v>
      </c>
    </row>
    <row r="7" spans="1:15" ht="19" customHeight="1" x14ac:dyDescent="0.35">
      <c r="A7" s="454" t="s">
        <v>464</v>
      </c>
      <c r="B7" s="454"/>
      <c r="C7" s="454"/>
      <c r="D7" s="37"/>
      <c r="E7" s="53"/>
      <c r="F7" s="30"/>
      <c r="G7" s="30"/>
      <c r="H7" s="30"/>
      <c r="I7" s="24"/>
      <c r="J7" s="24"/>
      <c r="K7" s="24"/>
      <c r="L7" s="490">
        <f>AVERAGE(L8,L11,L13,L15,L21,L26,L30)</f>
        <v>100</v>
      </c>
      <c r="M7" s="24"/>
      <c r="N7" s="24"/>
      <c r="O7" s="24"/>
    </row>
    <row r="8" spans="1:15" ht="34.5" customHeight="1" x14ac:dyDescent="0.35">
      <c r="A8" s="455" t="s">
        <v>440</v>
      </c>
      <c r="B8" s="455"/>
      <c r="C8" s="455"/>
      <c r="D8" s="54"/>
      <c r="E8" s="162"/>
      <c r="F8" s="140"/>
      <c r="G8" s="140"/>
      <c r="H8" s="140"/>
      <c r="I8" s="150"/>
      <c r="J8" s="150"/>
      <c r="K8" s="150"/>
      <c r="L8" s="165">
        <f>AVERAGE(K9:K10)</f>
        <v>100</v>
      </c>
      <c r="M8" s="24"/>
      <c r="N8" s="24"/>
      <c r="O8" s="24"/>
    </row>
    <row r="9" spans="1:15" ht="35.5" customHeight="1" x14ac:dyDescent="0.35">
      <c r="A9" s="50" t="s">
        <v>169</v>
      </c>
      <c r="B9" s="414" t="s">
        <v>441</v>
      </c>
      <c r="C9" s="414"/>
      <c r="D9" s="51">
        <v>0.55000000000000004</v>
      </c>
      <c r="E9" s="167" t="s">
        <v>882</v>
      </c>
      <c r="F9" s="176">
        <v>36</v>
      </c>
      <c r="G9" s="140">
        <f t="shared" ref="G9:G10" si="0">D9*F9</f>
        <v>19.8</v>
      </c>
      <c r="H9" s="140">
        <v>22</v>
      </c>
      <c r="I9" s="208">
        <f>H9/F9*100</f>
        <v>61.111111111111114</v>
      </c>
      <c r="J9" s="320" t="s">
        <v>532</v>
      </c>
      <c r="K9" s="209">
        <f>IF(H9/G9*100&gt;=100,100,IF(H9/G9*100&lt;100,H9/G9*100))</f>
        <v>100</v>
      </c>
      <c r="L9" s="164"/>
      <c r="M9" s="24"/>
      <c r="N9" s="24"/>
      <c r="O9" s="24"/>
    </row>
    <row r="10" spans="1:15" ht="34.4" customHeight="1" x14ac:dyDescent="0.35">
      <c r="A10" s="50" t="s">
        <v>215</v>
      </c>
      <c r="B10" s="414" t="s">
        <v>442</v>
      </c>
      <c r="C10" s="414"/>
      <c r="D10" s="51">
        <v>0.3</v>
      </c>
      <c r="E10" s="167" t="s">
        <v>883</v>
      </c>
      <c r="F10" s="176">
        <v>44</v>
      </c>
      <c r="G10" s="140">
        <f t="shared" si="0"/>
        <v>13.2</v>
      </c>
      <c r="H10" s="140">
        <v>22</v>
      </c>
      <c r="I10" s="208">
        <f t="shared" ref="I10" si="1">H10/F10*100</f>
        <v>50</v>
      </c>
      <c r="J10" s="321" t="s">
        <v>532</v>
      </c>
      <c r="K10" s="209">
        <f>IF(H10/G10*100&gt;=100,100,IF(H10/G10*100&lt;100,H10/G10*100))</f>
        <v>100</v>
      </c>
      <c r="L10" s="164"/>
      <c r="M10" s="24"/>
      <c r="N10" s="24"/>
      <c r="O10" s="24"/>
    </row>
    <row r="11" spans="1:15" ht="37" customHeight="1" x14ac:dyDescent="0.35">
      <c r="A11" s="408" t="s">
        <v>836</v>
      </c>
      <c r="B11" s="408"/>
      <c r="C11" s="408"/>
      <c r="D11" s="38"/>
      <c r="E11" s="53"/>
      <c r="F11" s="140"/>
      <c r="G11" s="140"/>
      <c r="H11" s="140"/>
      <c r="I11" s="204"/>
      <c r="J11" s="204"/>
      <c r="K11" s="204"/>
      <c r="L11" s="165">
        <f>K12</f>
        <v>100</v>
      </c>
      <c r="M11" s="24"/>
      <c r="N11" s="24"/>
      <c r="O11" s="24"/>
    </row>
    <row r="12" spans="1:15" ht="60" customHeight="1" x14ac:dyDescent="0.35">
      <c r="A12" s="50" t="s">
        <v>224</v>
      </c>
      <c r="B12" s="414" t="s">
        <v>854</v>
      </c>
      <c r="C12" s="414"/>
      <c r="D12" s="57">
        <v>0.1</v>
      </c>
      <c r="E12" s="317" t="s">
        <v>884</v>
      </c>
      <c r="F12" s="318">
        <v>35</v>
      </c>
      <c r="G12" s="203">
        <f t="shared" ref="G12" si="2">D12*F12</f>
        <v>3.5</v>
      </c>
      <c r="H12" s="203">
        <v>4</v>
      </c>
      <c r="I12" s="208">
        <f t="shared" ref="I12" si="3">H12/F12*100</f>
        <v>11.428571428571429</v>
      </c>
      <c r="J12" s="208"/>
      <c r="K12" s="209">
        <f>IF(H12/G12*100&gt;=100,100,IF(H12/G12*100&lt;100,H12/G12*100))</f>
        <v>100</v>
      </c>
      <c r="L12" s="150"/>
      <c r="M12" s="24"/>
      <c r="N12" s="24"/>
      <c r="O12" s="24"/>
    </row>
    <row r="13" spans="1:15" ht="20.5" customHeight="1" x14ac:dyDescent="0.35">
      <c r="A13" s="455" t="s">
        <v>834</v>
      </c>
      <c r="B13" s="455"/>
      <c r="C13" s="455"/>
      <c r="D13" s="3"/>
      <c r="E13" s="162"/>
      <c r="F13" s="140"/>
      <c r="G13" s="140"/>
      <c r="H13" s="140"/>
      <c r="I13" s="208"/>
      <c r="J13" s="208"/>
      <c r="K13" s="208"/>
      <c r="L13" s="165">
        <f>K14</f>
        <v>100</v>
      </c>
      <c r="M13" s="24"/>
      <c r="N13" s="24"/>
      <c r="O13" s="24"/>
    </row>
    <row r="14" spans="1:15" ht="38.15" customHeight="1" x14ac:dyDescent="0.35">
      <c r="A14" s="50" t="s">
        <v>169</v>
      </c>
      <c r="B14" s="414" t="s">
        <v>443</v>
      </c>
      <c r="C14" s="414"/>
      <c r="D14" s="57">
        <v>1</v>
      </c>
      <c r="E14" s="319" t="s">
        <v>235</v>
      </c>
      <c r="F14" s="203">
        <v>14</v>
      </c>
      <c r="G14" s="203">
        <f t="shared" ref="G14" si="4">D14*F14</f>
        <v>14</v>
      </c>
      <c r="H14" s="203">
        <v>14</v>
      </c>
      <c r="I14" s="208">
        <f t="shared" ref="I14" si="5">H14/F14*100</f>
        <v>100</v>
      </c>
      <c r="J14" s="320" t="s">
        <v>532</v>
      </c>
      <c r="K14" s="208">
        <f>IF(I14/H14*100&gt;=100,100,IF(I14/H14*100&lt;100,I14/H14*100))</f>
        <v>100</v>
      </c>
      <c r="L14" s="150"/>
      <c r="M14" s="24"/>
      <c r="N14" s="24"/>
      <c r="O14" s="24"/>
    </row>
    <row r="15" spans="1:15" ht="24" customHeight="1" x14ac:dyDescent="0.35">
      <c r="A15" s="408" t="s">
        <v>835</v>
      </c>
      <c r="B15" s="408"/>
      <c r="C15" s="408"/>
      <c r="D15" s="54"/>
      <c r="E15" s="168"/>
      <c r="F15" s="140"/>
      <c r="G15" s="140"/>
      <c r="H15" s="140"/>
      <c r="I15" s="208"/>
      <c r="J15" s="208"/>
      <c r="K15" s="208"/>
      <c r="L15" s="165">
        <f>SUM(K16:K20)/4</f>
        <v>100</v>
      </c>
      <c r="M15" s="24"/>
      <c r="N15" s="24"/>
      <c r="O15" s="24"/>
    </row>
    <row r="16" spans="1:15" ht="21" customHeight="1" x14ac:dyDescent="0.35">
      <c r="A16" s="50" t="s">
        <v>169</v>
      </c>
      <c r="B16" s="414" t="s">
        <v>444</v>
      </c>
      <c r="C16" s="414"/>
      <c r="D16" s="49">
        <v>0.3</v>
      </c>
      <c r="E16" s="169" t="s">
        <v>235</v>
      </c>
      <c r="F16" s="140">
        <v>30</v>
      </c>
      <c r="G16" s="140">
        <f t="shared" ref="G16:G19" si="6">D16*F16</f>
        <v>9</v>
      </c>
      <c r="H16" s="140">
        <v>10</v>
      </c>
      <c r="I16" s="208">
        <f>H16/F16*100</f>
        <v>33.333333333333329</v>
      </c>
      <c r="J16" s="321" t="s">
        <v>532</v>
      </c>
      <c r="K16" s="209">
        <f>IF(H16/G16*100&gt;=100,100,IF(H16/G16*100&lt;100,H16/G16*100))</f>
        <v>100</v>
      </c>
      <c r="L16" s="150"/>
      <c r="M16" s="24"/>
      <c r="N16" s="24"/>
      <c r="O16" s="24"/>
    </row>
    <row r="17" spans="1:15" ht="32.5" customHeight="1" x14ac:dyDescent="0.35">
      <c r="A17" s="322" t="s">
        <v>215</v>
      </c>
      <c r="B17" s="414" t="s">
        <v>446</v>
      </c>
      <c r="C17" s="414"/>
      <c r="D17" s="51">
        <v>0.15</v>
      </c>
      <c r="E17" s="169" t="s">
        <v>535</v>
      </c>
      <c r="F17" s="140">
        <v>0</v>
      </c>
      <c r="G17" s="140">
        <f>D17*F17</f>
        <v>0</v>
      </c>
      <c r="H17" s="140">
        <v>0</v>
      </c>
      <c r="I17" s="208">
        <v>0</v>
      </c>
      <c r="J17" s="321" t="s">
        <v>532</v>
      </c>
      <c r="K17" s="209">
        <v>0</v>
      </c>
      <c r="L17" s="150"/>
      <c r="M17" s="24"/>
      <c r="N17" s="24"/>
      <c r="O17" s="24"/>
    </row>
    <row r="18" spans="1:15" ht="22.4" customHeight="1" x14ac:dyDescent="0.35">
      <c r="A18" s="323" t="s">
        <v>183</v>
      </c>
      <c r="B18" s="414" t="s">
        <v>447</v>
      </c>
      <c r="C18" s="414"/>
      <c r="D18" s="51">
        <v>0.5</v>
      </c>
      <c r="E18" s="162" t="s">
        <v>235</v>
      </c>
      <c r="F18" s="140">
        <v>30</v>
      </c>
      <c r="G18" s="140">
        <f>D18*F18</f>
        <v>15</v>
      </c>
      <c r="H18" s="140">
        <v>21</v>
      </c>
      <c r="I18" s="150">
        <f>H18/F18*100</f>
        <v>70</v>
      </c>
      <c r="J18" s="163" t="s">
        <v>532</v>
      </c>
      <c r="K18" s="209">
        <f>IF(H18/G18*100&gt;=100,100,IF(H18/G18*100&lt;100,H18/G18*100))</f>
        <v>100</v>
      </c>
      <c r="L18" s="150"/>
      <c r="M18" s="24"/>
      <c r="N18" s="24"/>
      <c r="O18" s="24"/>
    </row>
    <row r="19" spans="1:15" ht="20.5" customHeight="1" x14ac:dyDescent="0.35">
      <c r="A19" s="323" t="s">
        <v>245</v>
      </c>
      <c r="B19" s="414" t="s">
        <v>445</v>
      </c>
      <c r="C19" s="414"/>
      <c r="D19" s="51">
        <v>0.2</v>
      </c>
      <c r="E19" s="162" t="s">
        <v>534</v>
      </c>
      <c r="F19" s="140">
        <v>8</v>
      </c>
      <c r="G19" s="182">
        <f t="shared" si="6"/>
        <v>1.6</v>
      </c>
      <c r="H19" s="140">
        <v>2</v>
      </c>
      <c r="I19" s="208">
        <f t="shared" ref="I19" si="7">H19/F19*100</f>
        <v>25</v>
      </c>
      <c r="J19" s="321" t="s">
        <v>532</v>
      </c>
      <c r="K19" s="209">
        <f>IF(H19/G19*100&gt;=100,100,IF(H19/G19*100&lt;100,H19/G19*100))</f>
        <v>100</v>
      </c>
      <c r="L19" s="150"/>
      <c r="M19" s="24"/>
      <c r="N19" s="24"/>
      <c r="O19" s="24"/>
    </row>
    <row r="20" spans="1:15" ht="33" customHeight="1" x14ac:dyDescent="0.35">
      <c r="A20" s="50" t="s">
        <v>249</v>
      </c>
      <c r="B20" s="414" t="s">
        <v>707</v>
      </c>
      <c r="C20" s="414"/>
      <c r="D20" s="222">
        <v>2</v>
      </c>
      <c r="E20" s="162" t="s">
        <v>536</v>
      </c>
      <c r="F20" s="140">
        <v>8</v>
      </c>
      <c r="G20" s="140">
        <v>2</v>
      </c>
      <c r="H20" s="140">
        <v>2</v>
      </c>
      <c r="I20" s="150">
        <f>H20/F20*100</f>
        <v>25</v>
      </c>
      <c r="J20" s="163"/>
      <c r="K20" s="164">
        <f>IF(H20/G20*100&gt;=100,100,IF(H20/G20*100&lt;100,H20/G20*100))</f>
        <v>100</v>
      </c>
      <c r="L20" s="150"/>
      <c r="M20" s="24"/>
      <c r="N20" s="24"/>
      <c r="O20" s="24"/>
    </row>
    <row r="21" spans="1:15" ht="15" x14ac:dyDescent="0.35">
      <c r="A21" s="408" t="s">
        <v>837</v>
      </c>
      <c r="B21" s="408"/>
      <c r="C21" s="408"/>
      <c r="D21" s="54"/>
      <c r="E21" s="162"/>
      <c r="F21" s="140"/>
      <c r="G21" s="140"/>
      <c r="H21" s="140"/>
      <c r="I21" s="150"/>
      <c r="J21" s="150"/>
      <c r="K21" s="150"/>
      <c r="L21" s="165">
        <f>AVERAGE(K22:K25)</f>
        <v>100</v>
      </c>
      <c r="M21" s="24"/>
      <c r="N21" s="24"/>
      <c r="O21" s="24"/>
    </row>
    <row r="22" spans="1:15" ht="18.649999999999999" customHeight="1" x14ac:dyDescent="0.35">
      <c r="A22" s="98" t="s">
        <v>169</v>
      </c>
      <c r="B22" s="452" t="s">
        <v>448</v>
      </c>
      <c r="C22" s="452"/>
      <c r="D22" s="99">
        <v>0.4</v>
      </c>
      <c r="E22" s="170" t="s">
        <v>536</v>
      </c>
      <c r="F22" s="140">
        <v>17</v>
      </c>
      <c r="G22" s="140">
        <f t="shared" ref="G22:G24" si="8">D22*F22</f>
        <v>6.8000000000000007</v>
      </c>
      <c r="H22" s="140">
        <v>42</v>
      </c>
      <c r="I22" s="150">
        <f>MIN(100,H22/F22*100)</f>
        <v>100</v>
      </c>
      <c r="J22" s="163" t="s">
        <v>532</v>
      </c>
      <c r="K22" s="164">
        <f>IF(H22/G22*100&gt;=100,100,IF(H22/G22*100&lt;100,H22/G22*100))</f>
        <v>100</v>
      </c>
      <c r="L22" s="150"/>
      <c r="M22" s="24"/>
      <c r="N22" s="24"/>
      <c r="O22" s="24"/>
    </row>
    <row r="23" spans="1:15" ht="21" customHeight="1" x14ac:dyDescent="0.35">
      <c r="A23" s="98" t="s">
        <v>215</v>
      </c>
      <c r="B23" s="452" t="s">
        <v>449</v>
      </c>
      <c r="C23" s="452"/>
      <c r="D23" s="99">
        <v>0.9</v>
      </c>
      <c r="E23" s="171" t="s">
        <v>235</v>
      </c>
      <c r="F23" s="140">
        <v>8</v>
      </c>
      <c r="G23" s="140">
        <f t="shared" si="8"/>
        <v>7.2</v>
      </c>
      <c r="H23" s="140">
        <v>9</v>
      </c>
      <c r="I23" s="150">
        <f t="shared" ref="I23" si="9">MIN(100,H23/F23*100)</f>
        <v>100</v>
      </c>
      <c r="J23" s="163" t="s">
        <v>532</v>
      </c>
      <c r="K23" s="164">
        <f>IF(H23/G23*100&gt;=100,100,IF(H23/G23*100&lt;100,H23/G23*100))</f>
        <v>100</v>
      </c>
      <c r="L23" s="150"/>
      <c r="M23" s="24"/>
      <c r="N23" s="24"/>
      <c r="O23" s="24"/>
    </row>
    <row r="24" spans="1:15" ht="32.5" customHeight="1" x14ac:dyDescent="0.35">
      <c r="A24" s="98" t="s">
        <v>183</v>
      </c>
      <c r="B24" s="452" t="s">
        <v>450</v>
      </c>
      <c r="C24" s="452"/>
      <c r="D24" s="99">
        <v>0.4</v>
      </c>
      <c r="E24" s="171" t="s">
        <v>885</v>
      </c>
      <c r="F24" s="140">
        <v>1</v>
      </c>
      <c r="G24" s="140">
        <f t="shared" si="8"/>
        <v>0.4</v>
      </c>
      <c r="H24" s="140">
        <v>6.5</v>
      </c>
      <c r="I24" s="150">
        <f>MIN(100,H24/F24*100)</f>
        <v>100</v>
      </c>
      <c r="J24" s="163" t="s">
        <v>532</v>
      </c>
      <c r="K24" s="164">
        <f t="shared" ref="K24:K25" si="10">IF(H24/G24*100&gt;=100,100,IF(H24/G24*100&lt;100,H24/G24*100))</f>
        <v>100</v>
      </c>
      <c r="L24" s="150"/>
      <c r="M24" s="24"/>
      <c r="N24" s="24"/>
      <c r="O24" s="24"/>
    </row>
    <row r="25" spans="1:15" ht="23.15" customHeight="1" x14ac:dyDescent="0.35">
      <c r="A25" s="98" t="s">
        <v>245</v>
      </c>
      <c r="B25" s="452" t="s">
        <v>451</v>
      </c>
      <c r="C25" s="452"/>
      <c r="D25" s="99">
        <v>0.35</v>
      </c>
      <c r="E25" s="99" t="s">
        <v>886</v>
      </c>
      <c r="F25" s="140">
        <v>26</v>
      </c>
      <c r="G25" s="140">
        <f t="shared" ref="G25" si="11">D25*F25</f>
        <v>9.1</v>
      </c>
      <c r="H25" s="140">
        <v>15</v>
      </c>
      <c r="I25" s="150">
        <f>MIN(100,H25/F25*100)</f>
        <v>57.692307692307686</v>
      </c>
      <c r="J25" s="163" t="s">
        <v>532</v>
      </c>
      <c r="K25" s="164">
        <f t="shared" si="10"/>
        <v>100</v>
      </c>
      <c r="L25" s="30"/>
      <c r="M25" s="24"/>
      <c r="N25" s="24"/>
      <c r="O25" s="24"/>
    </row>
    <row r="26" spans="1:15" ht="15" x14ac:dyDescent="0.35">
      <c r="A26" s="408" t="s">
        <v>838</v>
      </c>
      <c r="B26" s="408"/>
      <c r="C26" s="408"/>
      <c r="D26" s="3"/>
      <c r="E26" s="172"/>
      <c r="F26" s="140"/>
      <c r="G26" s="140"/>
      <c r="H26" s="140"/>
      <c r="I26" s="173"/>
      <c r="J26" s="173"/>
      <c r="K26" s="173"/>
      <c r="L26" s="165">
        <f>AVERAGE(K27:K29)</f>
        <v>100</v>
      </c>
      <c r="M26" s="24"/>
      <c r="N26" s="24"/>
      <c r="O26" s="24"/>
    </row>
    <row r="27" spans="1:15" ht="35.15" customHeight="1" x14ac:dyDescent="0.35">
      <c r="A27" s="98" t="s">
        <v>841</v>
      </c>
      <c r="B27" s="452" t="s">
        <v>452</v>
      </c>
      <c r="C27" s="452"/>
      <c r="D27" s="99">
        <v>0.5</v>
      </c>
      <c r="E27" s="174" t="s">
        <v>885</v>
      </c>
      <c r="F27" s="140">
        <v>11</v>
      </c>
      <c r="G27" s="140">
        <f t="shared" ref="G27:G29" si="12">D27*F27</f>
        <v>5.5</v>
      </c>
      <c r="H27" s="140">
        <v>8</v>
      </c>
      <c r="I27" s="150">
        <f t="shared" ref="I27:I29" si="13">H27/F27*100</f>
        <v>72.727272727272734</v>
      </c>
      <c r="J27" s="152" t="s">
        <v>532</v>
      </c>
      <c r="K27" s="164">
        <f>IF(H27/G27*100&gt;=100,100,IF(H27/G27*100&lt;100,H27/G27*100))</f>
        <v>100</v>
      </c>
      <c r="L27" s="150"/>
      <c r="M27" s="24"/>
      <c r="N27" s="24"/>
      <c r="O27" s="24"/>
    </row>
    <row r="28" spans="1:15" ht="34.4" customHeight="1" x14ac:dyDescent="0.35">
      <c r="A28" s="98" t="s">
        <v>840</v>
      </c>
      <c r="B28" s="452" t="s">
        <v>453</v>
      </c>
      <c r="C28" s="452"/>
      <c r="D28" s="99">
        <v>0.5</v>
      </c>
      <c r="E28" s="174" t="s">
        <v>537</v>
      </c>
      <c r="F28" s="140">
        <v>9</v>
      </c>
      <c r="G28" s="140">
        <f t="shared" si="12"/>
        <v>4.5</v>
      </c>
      <c r="H28" s="140">
        <v>8</v>
      </c>
      <c r="I28" s="150">
        <f t="shared" si="13"/>
        <v>88.888888888888886</v>
      </c>
      <c r="J28" s="152" t="s">
        <v>532</v>
      </c>
      <c r="K28" s="164">
        <f>IF(H28/G28*100&gt;=100,100,IF(H28/G28*100&lt;100,H28/G28*100))</f>
        <v>100</v>
      </c>
      <c r="L28" s="150"/>
      <c r="M28" s="24"/>
      <c r="N28" s="24"/>
      <c r="O28" s="24"/>
    </row>
    <row r="29" spans="1:15" ht="35.5" customHeight="1" x14ac:dyDescent="0.35">
      <c r="A29" s="98" t="s">
        <v>183</v>
      </c>
      <c r="B29" s="452" t="s">
        <v>454</v>
      </c>
      <c r="C29" s="452"/>
      <c r="D29" s="99">
        <v>0.4</v>
      </c>
      <c r="E29" s="175" t="s">
        <v>538</v>
      </c>
      <c r="F29" s="140">
        <v>24</v>
      </c>
      <c r="G29" s="140">
        <f t="shared" si="12"/>
        <v>9.6000000000000014</v>
      </c>
      <c r="H29" s="140">
        <v>22</v>
      </c>
      <c r="I29" s="150">
        <f t="shared" si="13"/>
        <v>91.666666666666657</v>
      </c>
      <c r="J29" s="152" t="s">
        <v>532</v>
      </c>
      <c r="K29" s="164">
        <f>IF(H29/G29*100&gt;=100,100,IF(H29/G29*100&lt;100,H29/G29*100))</f>
        <v>100</v>
      </c>
      <c r="L29" s="150"/>
      <c r="M29" s="24"/>
      <c r="N29" s="24"/>
      <c r="O29" s="24"/>
    </row>
    <row r="30" spans="1:15" ht="15.5" x14ac:dyDescent="0.35">
      <c r="A30" s="451" t="s">
        <v>839</v>
      </c>
      <c r="B30" s="451"/>
      <c r="C30" s="451"/>
      <c r="D30" s="41"/>
      <c r="E30" s="87"/>
      <c r="F30" s="177"/>
      <c r="G30" s="30"/>
      <c r="H30" s="30"/>
      <c r="I30" s="24"/>
      <c r="J30" s="24"/>
      <c r="K30" s="24"/>
      <c r="L30" s="491">
        <f>AVERAGE(K32:K34)</f>
        <v>100</v>
      </c>
      <c r="M30" s="24"/>
      <c r="N30" s="24"/>
      <c r="O30" s="24"/>
    </row>
    <row r="31" spans="1:15" ht="15.5" x14ac:dyDescent="0.35">
      <c r="A31" s="408" t="s">
        <v>455</v>
      </c>
      <c r="B31" s="408"/>
      <c r="C31" s="408"/>
      <c r="D31" s="408"/>
      <c r="E31" s="87"/>
      <c r="F31" s="140"/>
      <c r="G31" s="140"/>
      <c r="H31" s="140"/>
      <c r="I31" s="150"/>
      <c r="J31" s="152"/>
      <c r="K31" s="150"/>
      <c r="L31" s="150"/>
      <c r="M31" s="24"/>
      <c r="N31" s="24"/>
      <c r="O31" s="24"/>
    </row>
    <row r="32" spans="1:15" ht="63.65" customHeight="1" x14ac:dyDescent="0.35">
      <c r="A32" s="2" t="s">
        <v>169</v>
      </c>
      <c r="B32" s="442" t="s">
        <v>456</v>
      </c>
      <c r="C32" s="442"/>
      <c r="D32" s="96">
        <v>0.25</v>
      </c>
      <c r="E32" s="96" t="s">
        <v>887</v>
      </c>
      <c r="F32" s="140">
        <v>222</v>
      </c>
      <c r="G32" s="140">
        <f t="shared" ref="G32:G34" si="14">D32*F32</f>
        <v>55.5</v>
      </c>
      <c r="H32" s="140">
        <v>65</v>
      </c>
      <c r="I32" s="150">
        <f>H32/F32*100</f>
        <v>29.27927927927928</v>
      </c>
      <c r="J32" s="152"/>
      <c r="K32" s="164">
        <f>IF(H32/G32*100&gt;=100,100,IF(H32/G32*100&lt;100,H32/G32*100))</f>
        <v>100</v>
      </c>
      <c r="L32" s="150"/>
      <c r="M32" s="24"/>
      <c r="N32" s="24"/>
      <c r="O32" s="24"/>
    </row>
    <row r="33" spans="1:15" ht="48.65" customHeight="1" x14ac:dyDescent="0.35">
      <c r="A33" s="2" t="s">
        <v>215</v>
      </c>
      <c r="B33" s="442" t="s">
        <v>457</v>
      </c>
      <c r="C33" s="442"/>
      <c r="D33" s="96">
        <v>0.25</v>
      </c>
      <c r="E33" s="324" t="s">
        <v>888</v>
      </c>
      <c r="F33" s="140">
        <v>8</v>
      </c>
      <c r="G33" s="140">
        <f t="shared" si="14"/>
        <v>2</v>
      </c>
      <c r="H33" s="140">
        <v>6</v>
      </c>
      <c r="I33" s="150">
        <f>H33/F33*100</f>
        <v>75</v>
      </c>
      <c r="J33" s="152"/>
      <c r="K33" s="164">
        <f>IF(H33/G33*100&gt;=100,100,IF(H33/G33*100&lt;100,H33/G33*100))</f>
        <v>100</v>
      </c>
      <c r="L33" s="30"/>
      <c r="M33" s="24"/>
      <c r="N33" s="24"/>
      <c r="O33" s="24"/>
    </row>
    <row r="34" spans="1:15" ht="36" customHeight="1" x14ac:dyDescent="0.35">
      <c r="A34" s="2" t="s">
        <v>183</v>
      </c>
      <c r="B34" s="442" t="s">
        <v>458</v>
      </c>
      <c r="C34" s="442"/>
      <c r="D34" s="96">
        <v>0.25</v>
      </c>
      <c r="E34" s="96" t="s">
        <v>902</v>
      </c>
      <c r="F34" s="140">
        <v>960</v>
      </c>
      <c r="G34" s="140">
        <f t="shared" si="14"/>
        <v>240</v>
      </c>
      <c r="H34" s="140">
        <v>240</v>
      </c>
      <c r="I34" s="150">
        <f t="shared" ref="I34" si="15">H34/F34*100</f>
        <v>25</v>
      </c>
      <c r="J34" s="152"/>
      <c r="K34" s="164">
        <f t="shared" ref="K34" si="16">IF(H34/G34*100&gt;=100,100,IF(H34/G34*100&lt;100,H34/G34*100))</f>
        <v>100</v>
      </c>
      <c r="L34" s="30"/>
      <c r="M34" s="24"/>
      <c r="N34" s="24"/>
      <c r="O34" s="24"/>
    </row>
    <row r="35" spans="1:15" ht="15.5" x14ac:dyDescent="0.35">
      <c r="A35" s="34"/>
      <c r="B35" s="34"/>
      <c r="C35" s="34"/>
      <c r="D35" s="95"/>
      <c r="E35" s="34"/>
    </row>
    <row r="36" spans="1:15" ht="15.65" customHeight="1" x14ac:dyDescent="0.35">
      <c r="A36" s="118"/>
      <c r="B36" s="128"/>
      <c r="C36" s="130" t="s">
        <v>517</v>
      </c>
      <c r="D36" s="131"/>
      <c r="F36" s="91"/>
      <c r="G36" s="91"/>
      <c r="H36" s="91"/>
      <c r="I36" s="1"/>
      <c r="J36" s="1"/>
      <c r="K36" s="1"/>
      <c r="L36" s="91"/>
      <c r="M36" s="1"/>
    </row>
    <row r="37" spans="1:15" ht="15.5" x14ac:dyDescent="0.35">
      <c r="A37" s="118"/>
      <c r="B37" s="116"/>
      <c r="C37" s="116" t="s">
        <v>305</v>
      </c>
      <c r="D37" s="113" t="s">
        <v>515</v>
      </c>
      <c r="F37" s="91"/>
      <c r="G37" s="91"/>
      <c r="H37" s="91"/>
      <c r="I37" s="1"/>
      <c r="J37" s="1"/>
      <c r="K37" s="1"/>
      <c r="L37" s="91"/>
      <c r="M37" s="1"/>
    </row>
    <row r="38" spans="1:15" ht="15.5" x14ac:dyDescent="0.35">
      <c r="A38" s="118"/>
      <c r="B38" s="116"/>
      <c r="C38" s="116" t="s">
        <v>307</v>
      </c>
      <c r="D38" s="115" t="s">
        <v>308</v>
      </c>
      <c r="F38" s="91"/>
      <c r="G38" s="91"/>
      <c r="H38" s="91"/>
      <c r="I38" s="1"/>
      <c r="J38" s="1"/>
      <c r="K38" s="1"/>
      <c r="L38" s="91"/>
      <c r="M38" s="1"/>
    </row>
    <row r="39" spans="1:15" ht="17.149999999999999" customHeight="1" x14ac:dyDescent="0.35">
      <c r="A39" s="105"/>
      <c r="B39" s="116"/>
      <c r="C39" s="116" t="s">
        <v>309</v>
      </c>
      <c r="D39" s="113" t="s">
        <v>516</v>
      </c>
      <c r="F39" s="178"/>
      <c r="G39" s="178"/>
      <c r="H39" s="178"/>
      <c r="I39" s="105"/>
      <c r="J39" s="105"/>
      <c r="K39" s="105"/>
      <c r="L39" s="178"/>
      <c r="M39" s="105"/>
    </row>
    <row r="40" spans="1:15" ht="45.5" x14ac:dyDescent="0.35">
      <c r="A40" s="119" t="s">
        <v>311</v>
      </c>
      <c r="B40" s="393" t="s">
        <v>312</v>
      </c>
      <c r="C40" s="394"/>
      <c r="D40" s="121"/>
      <c r="E40" s="122"/>
      <c r="F40" s="122"/>
      <c r="G40" s="123"/>
      <c r="H40" s="123"/>
      <c r="I40" s="123"/>
      <c r="J40" s="123"/>
      <c r="K40" s="123"/>
      <c r="L40" s="123"/>
      <c r="M40" s="123"/>
    </row>
    <row r="41" spans="1:15" ht="15.5" x14ac:dyDescent="0.35">
      <c r="A41" s="124">
        <v>2</v>
      </c>
      <c r="B41" s="76" t="s">
        <v>313</v>
      </c>
      <c r="C41" s="76"/>
      <c r="D41" s="76"/>
      <c r="E41" s="76"/>
      <c r="F41" s="85"/>
      <c r="G41" s="85"/>
      <c r="H41" s="85"/>
      <c r="I41" s="76"/>
      <c r="J41" s="76"/>
      <c r="K41" s="76"/>
      <c r="L41" s="85"/>
      <c r="M41" s="76"/>
    </row>
    <row r="42" spans="1:15" ht="15.5" x14ac:dyDescent="0.35">
      <c r="A42" s="124"/>
      <c r="B42" s="76" t="s">
        <v>314</v>
      </c>
      <c r="C42" s="76"/>
      <c r="D42" s="76"/>
      <c r="E42" s="76"/>
      <c r="F42" s="85"/>
      <c r="G42" s="85"/>
      <c r="H42" s="85"/>
      <c r="I42" s="76"/>
      <c r="J42" s="76"/>
      <c r="K42" s="76"/>
      <c r="L42" s="85"/>
      <c r="M42" s="85"/>
    </row>
    <row r="43" spans="1:15" ht="15.5" x14ac:dyDescent="0.35">
      <c r="A43" s="124"/>
      <c r="B43" s="76" t="s">
        <v>315</v>
      </c>
      <c r="C43" s="76"/>
      <c r="D43" s="76"/>
      <c r="E43" s="76"/>
      <c r="F43" s="85"/>
      <c r="G43" s="85"/>
      <c r="H43" s="85"/>
      <c r="I43" s="76"/>
      <c r="J43" s="76"/>
      <c r="K43" s="76"/>
      <c r="L43" s="85"/>
      <c r="M43" s="85"/>
    </row>
    <row r="44" spans="1:15" ht="15.5" x14ac:dyDescent="0.35">
      <c r="A44" s="124"/>
      <c r="B44" s="445" t="s">
        <v>316</v>
      </c>
      <c r="C44" s="446"/>
      <c r="D44" s="446"/>
      <c r="E44" s="446"/>
      <c r="F44" s="446"/>
      <c r="G44" s="446"/>
      <c r="H44" s="446"/>
      <c r="I44" s="446"/>
      <c r="J44" s="446"/>
      <c r="K44" s="446"/>
      <c r="L44" s="446"/>
      <c r="M44" s="446"/>
      <c r="N44" s="446"/>
    </row>
    <row r="45" spans="1:15" ht="15.5" x14ac:dyDescent="0.35">
      <c r="A45" s="124">
        <v>3</v>
      </c>
      <c r="B45" s="76" t="s">
        <v>818</v>
      </c>
      <c r="C45" s="76"/>
      <c r="D45" s="76"/>
      <c r="E45" s="76"/>
      <c r="F45" s="85"/>
      <c r="G45" s="85"/>
      <c r="H45" s="85"/>
      <c r="I45" s="76"/>
      <c r="J45" s="76"/>
      <c r="K45" s="76"/>
      <c r="L45" s="85"/>
      <c r="M45" s="85"/>
    </row>
    <row r="46" spans="1:15" ht="15.5" x14ac:dyDescent="0.35">
      <c r="A46" s="124">
        <v>4</v>
      </c>
      <c r="B46" s="78" t="s">
        <v>317</v>
      </c>
      <c r="C46" s="78"/>
      <c r="D46" s="78"/>
      <c r="E46" s="78"/>
      <c r="F46" s="85"/>
      <c r="G46" s="85"/>
      <c r="H46" s="85"/>
      <c r="I46" s="85"/>
      <c r="J46" s="85"/>
      <c r="K46" s="85"/>
      <c r="L46" s="85"/>
      <c r="M46" s="85"/>
    </row>
    <row r="47" spans="1:15" ht="15.5" x14ac:dyDescent="0.35">
      <c r="A47" s="124">
        <v>5</v>
      </c>
      <c r="B47" s="78" t="s">
        <v>318</v>
      </c>
      <c r="C47" s="78"/>
      <c r="D47" s="78"/>
      <c r="E47" s="78"/>
      <c r="F47" s="85"/>
      <c r="G47" s="85"/>
      <c r="H47" s="85"/>
      <c r="I47" s="85"/>
      <c r="J47" s="85"/>
      <c r="K47" s="85"/>
      <c r="L47" s="85"/>
      <c r="M47" s="85"/>
    </row>
    <row r="48" spans="1:15" ht="15.5" x14ac:dyDescent="0.35">
      <c r="A48" s="124">
        <v>6</v>
      </c>
      <c r="B48" s="76" t="s">
        <v>823</v>
      </c>
      <c r="C48" s="76"/>
      <c r="D48" s="76"/>
      <c r="E48" s="76"/>
      <c r="F48" s="85"/>
      <c r="G48" s="85"/>
      <c r="H48" s="85"/>
      <c r="I48" s="76"/>
      <c r="J48" s="76"/>
      <c r="K48" s="76"/>
      <c r="L48" s="179"/>
      <c r="M48" s="120"/>
    </row>
    <row r="49" spans="1:13" ht="15.5" x14ac:dyDescent="0.35">
      <c r="A49" s="124">
        <v>7</v>
      </c>
      <c r="B49" s="76" t="s">
        <v>319</v>
      </c>
      <c r="C49" s="120"/>
      <c r="D49" s="120"/>
      <c r="E49" s="120"/>
      <c r="F49" s="179"/>
      <c r="G49" s="179"/>
      <c r="H49" s="179"/>
      <c r="I49" s="120"/>
      <c r="J49" s="120"/>
      <c r="K49" s="120"/>
      <c r="L49" s="179"/>
      <c r="M49" s="120"/>
    </row>
    <row r="50" spans="1:13" ht="15.5" x14ac:dyDescent="0.35">
      <c r="A50" s="124">
        <v>8</v>
      </c>
      <c r="B50" s="76" t="s">
        <v>320</v>
      </c>
      <c r="C50" s="120"/>
      <c r="D50" s="120"/>
      <c r="E50" s="120"/>
      <c r="F50" s="179"/>
      <c r="G50" s="179"/>
      <c r="H50" s="179"/>
      <c r="I50" s="120"/>
      <c r="J50" s="120"/>
      <c r="K50" s="120"/>
      <c r="L50" s="179"/>
      <c r="M50" s="120"/>
    </row>
    <row r="51" spans="1:13" ht="15.5" x14ac:dyDescent="0.35">
      <c r="A51" s="125" t="s">
        <v>321</v>
      </c>
      <c r="B51" s="76" t="s">
        <v>322</v>
      </c>
      <c r="C51" s="120"/>
      <c r="D51" s="120"/>
      <c r="E51" s="120"/>
      <c r="F51" s="179"/>
      <c r="G51" s="179"/>
      <c r="H51" s="179"/>
      <c r="I51" s="120"/>
      <c r="J51" s="120"/>
      <c r="K51" s="120"/>
      <c r="L51" s="179"/>
      <c r="M51" s="120"/>
    </row>
    <row r="52" spans="1:13" ht="15.5" x14ac:dyDescent="0.35">
      <c r="A52" s="124">
        <v>9</v>
      </c>
      <c r="B52" s="76" t="s">
        <v>323</v>
      </c>
      <c r="C52" s="120"/>
      <c r="D52" s="120"/>
      <c r="E52" s="120"/>
      <c r="F52" s="179"/>
      <c r="G52" s="179"/>
      <c r="H52" s="179"/>
      <c r="I52" s="120"/>
      <c r="J52" s="120"/>
      <c r="K52" s="120"/>
      <c r="L52" s="179"/>
      <c r="M52" s="120"/>
    </row>
    <row r="53" spans="1:13" ht="15.5" x14ac:dyDescent="0.35">
      <c r="A53" s="124">
        <v>10</v>
      </c>
      <c r="B53" s="76" t="s">
        <v>324</v>
      </c>
      <c r="C53" s="120"/>
      <c r="D53" s="120"/>
      <c r="E53" s="120"/>
      <c r="F53" s="179"/>
      <c r="G53" s="179"/>
      <c r="H53" s="179"/>
      <c r="I53" s="120"/>
      <c r="J53" s="120"/>
      <c r="K53" s="120"/>
      <c r="L53" s="179"/>
      <c r="M53" s="120"/>
    </row>
    <row r="54" spans="1:13" ht="15.5" x14ac:dyDescent="0.35">
      <c r="A54" s="124"/>
      <c r="B54" s="76" t="s">
        <v>325</v>
      </c>
      <c r="C54" s="120"/>
      <c r="D54" s="120"/>
      <c r="E54" s="120"/>
      <c r="F54" s="179"/>
      <c r="G54" s="179"/>
      <c r="H54" s="179"/>
      <c r="I54" s="120"/>
      <c r="J54" s="120"/>
      <c r="K54" s="120"/>
      <c r="L54" s="179"/>
      <c r="M54" s="120"/>
    </row>
    <row r="55" spans="1:13" ht="15.5" x14ac:dyDescent="0.35">
      <c r="A55" s="124">
        <v>11</v>
      </c>
      <c r="B55" s="76" t="s">
        <v>326</v>
      </c>
      <c r="C55" s="120"/>
      <c r="D55" s="120"/>
      <c r="E55" s="120"/>
      <c r="F55" s="179"/>
      <c r="G55" s="179"/>
      <c r="H55" s="179"/>
      <c r="I55" s="120"/>
      <c r="J55" s="120"/>
      <c r="K55" s="120"/>
      <c r="L55" s="179"/>
      <c r="M55" s="120"/>
    </row>
    <row r="56" spans="1:13" ht="15.5" x14ac:dyDescent="0.35">
      <c r="A56" s="124">
        <v>12</v>
      </c>
      <c r="B56" s="120" t="s">
        <v>842</v>
      </c>
      <c r="C56" s="120"/>
      <c r="D56" s="120"/>
      <c r="E56" s="120"/>
      <c r="F56" s="179"/>
      <c r="G56" s="179"/>
      <c r="H56" s="179"/>
      <c r="I56" s="120"/>
      <c r="J56" s="120"/>
      <c r="K56" s="120"/>
      <c r="L56" s="179"/>
      <c r="M56" s="120"/>
    </row>
    <row r="57" spans="1:13" ht="15.5" x14ac:dyDescent="0.35">
      <c r="A57" s="124">
        <v>13</v>
      </c>
      <c r="B57" s="80" t="s">
        <v>327</v>
      </c>
      <c r="C57" s="117"/>
      <c r="D57" s="117"/>
      <c r="E57" s="117"/>
      <c r="F57" s="180"/>
      <c r="G57" s="179"/>
      <c r="H57" s="179"/>
      <c r="I57" s="120"/>
      <c r="J57" s="120"/>
      <c r="K57" s="120"/>
      <c r="L57" s="179"/>
      <c r="M57" s="127"/>
    </row>
    <row r="58" spans="1:13" ht="15.5" x14ac:dyDescent="0.35">
      <c r="A58" s="124">
        <v>14</v>
      </c>
      <c r="B58" s="80" t="s">
        <v>328</v>
      </c>
      <c r="C58" s="117"/>
      <c r="D58" s="117"/>
      <c r="E58" s="117"/>
      <c r="F58" s="180"/>
      <c r="G58" s="179"/>
      <c r="H58" s="179"/>
      <c r="I58" s="120"/>
      <c r="J58" s="120"/>
      <c r="K58" s="120"/>
      <c r="L58" s="179"/>
      <c r="M58" s="127"/>
    </row>
  </sheetData>
  <mergeCells count="45">
    <mergeCell ref="A26:C26"/>
    <mergeCell ref="B16:C16"/>
    <mergeCell ref="B19:C19"/>
    <mergeCell ref="B17:C17"/>
    <mergeCell ref="B24:C24"/>
    <mergeCell ref="B25:C25"/>
    <mergeCell ref="A21:C21"/>
    <mergeCell ref="B20:C20"/>
    <mergeCell ref="B6:C6"/>
    <mergeCell ref="A7:C7"/>
    <mergeCell ref="B12:C12"/>
    <mergeCell ref="B22:C22"/>
    <mergeCell ref="B23:C23"/>
    <mergeCell ref="B14:C14"/>
    <mergeCell ref="A13:C13"/>
    <mergeCell ref="A15:C15"/>
    <mergeCell ref="A8:C8"/>
    <mergeCell ref="A11:C11"/>
    <mergeCell ref="B9:C9"/>
    <mergeCell ref="B10:C10"/>
    <mergeCell ref="B18:C18"/>
    <mergeCell ref="B33:C33"/>
    <mergeCell ref="B34:C34"/>
    <mergeCell ref="A31:D31"/>
    <mergeCell ref="A30:C30"/>
    <mergeCell ref="B27:C27"/>
    <mergeCell ref="B28:C28"/>
    <mergeCell ref="B29:C29"/>
    <mergeCell ref="B32:C32"/>
    <mergeCell ref="B44:N44"/>
    <mergeCell ref="B40:C40"/>
    <mergeCell ref="A1:O1"/>
    <mergeCell ref="A2:O2"/>
    <mergeCell ref="A4:A5"/>
    <mergeCell ref="B4:C5"/>
    <mergeCell ref="D4:D5"/>
    <mergeCell ref="E4:E5"/>
    <mergeCell ref="F4:F5"/>
    <mergeCell ref="G4:G5"/>
    <mergeCell ref="H4:H5"/>
    <mergeCell ref="I4:I5"/>
    <mergeCell ref="J4:L4"/>
    <mergeCell ref="M4:M5"/>
    <mergeCell ref="N4:N5"/>
    <mergeCell ref="O4:O5"/>
  </mergeCells>
  <pageMargins left="0.7" right="0.7" top="0.75" bottom="0.75" header="0.3" footer="0.3"/>
  <pageSetup paperSize="14" scale="68"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66"/>
  <sheetViews>
    <sheetView view="pageBreakPreview" topLeftCell="D1" zoomScale="54" zoomScaleNormal="65" zoomScaleSheetLayoutView="18" workbookViewId="0">
      <pane ySplit="5" topLeftCell="A6" activePane="bottomLeft" state="frozen"/>
      <selection pane="bottomLeft" activeCell="K8" sqref="K8"/>
    </sheetView>
  </sheetViews>
  <sheetFormatPr defaultRowHeight="14.5" x14ac:dyDescent="0.35"/>
  <cols>
    <col min="1" max="1" width="7.1796875" customWidth="1"/>
    <col min="2" max="2" width="33.54296875" customWidth="1"/>
    <col min="3" max="3" width="15" customWidth="1"/>
    <col min="4" max="4" width="14.7265625" customWidth="1"/>
    <col min="5" max="5" width="10.453125" customWidth="1"/>
    <col min="6" max="6" width="13.453125" customWidth="1"/>
    <col min="7" max="8" width="13.54296875" customWidth="1"/>
    <col min="9" max="9" width="10.54296875" customWidth="1"/>
    <col min="10" max="10" width="11.453125" customWidth="1"/>
    <col min="11" max="11" width="10.81640625" customWidth="1"/>
    <col min="12" max="12" width="18.1796875" customWidth="1"/>
    <col min="13" max="13" width="33.08984375" bestFit="1" customWidth="1"/>
    <col min="14" max="14" width="27.1796875" bestFit="1" customWidth="1"/>
    <col min="16" max="16" width="15.453125" customWidth="1"/>
    <col min="17" max="17" width="14.1796875" customWidth="1"/>
    <col min="18" max="18" width="10.7265625" customWidth="1"/>
    <col min="20" max="20" width="12.7265625" customWidth="1"/>
    <col min="21" max="21" width="16.453125" customWidth="1"/>
  </cols>
  <sheetData>
    <row r="1" spans="1:22" ht="15" x14ac:dyDescent="0.35">
      <c r="A1" s="447" t="s">
        <v>498</v>
      </c>
      <c r="B1" s="460"/>
      <c r="C1" s="460"/>
      <c r="D1" s="460"/>
      <c r="E1" s="460"/>
      <c r="F1" s="460"/>
      <c r="G1" s="460"/>
      <c r="H1" s="460"/>
      <c r="I1" s="460"/>
      <c r="J1" s="460"/>
      <c r="K1" s="460"/>
      <c r="L1" s="460"/>
      <c r="M1" s="460"/>
      <c r="N1" s="460"/>
    </row>
    <row r="2" spans="1:22" ht="15" x14ac:dyDescent="0.35">
      <c r="A2" s="103"/>
      <c r="B2" s="461" t="s">
        <v>499</v>
      </c>
      <c r="C2" s="461"/>
      <c r="D2" s="461"/>
      <c r="E2" s="461"/>
      <c r="F2" s="461"/>
      <c r="G2" s="461"/>
      <c r="H2" s="461"/>
      <c r="I2" s="461"/>
      <c r="J2" s="461"/>
      <c r="K2" s="461"/>
      <c r="L2" s="461"/>
      <c r="M2" s="461"/>
      <c r="N2" s="103"/>
    </row>
    <row r="3" spans="1:22" ht="17.5" customHeight="1" x14ac:dyDescent="0.35">
      <c r="A3" s="101"/>
      <c r="B3" s="101"/>
      <c r="C3" s="100"/>
    </row>
    <row r="4" spans="1:22" ht="15" x14ac:dyDescent="0.35">
      <c r="A4" s="449" t="s">
        <v>1</v>
      </c>
      <c r="B4" s="420" t="s">
        <v>193</v>
      </c>
      <c r="C4" s="420" t="s">
        <v>656</v>
      </c>
      <c r="D4" s="420" t="s">
        <v>194</v>
      </c>
      <c r="E4" s="420" t="s">
        <v>460</v>
      </c>
      <c r="F4" s="420" t="s">
        <v>461</v>
      </c>
      <c r="G4" s="420" t="s">
        <v>197</v>
      </c>
      <c r="H4" s="420" t="s">
        <v>462</v>
      </c>
      <c r="I4" s="420" t="s">
        <v>199</v>
      </c>
      <c r="J4" s="420"/>
      <c r="K4" s="420"/>
      <c r="L4" s="420" t="s">
        <v>200</v>
      </c>
      <c r="M4" s="450" t="s">
        <v>201</v>
      </c>
      <c r="N4" s="450" t="s">
        <v>202</v>
      </c>
    </row>
    <row r="5" spans="1:22" ht="30" x14ac:dyDescent="0.35">
      <c r="A5" s="449"/>
      <c r="B5" s="420"/>
      <c r="C5" s="420"/>
      <c r="D5" s="420"/>
      <c r="E5" s="420"/>
      <c r="F5" s="420"/>
      <c r="G5" s="420"/>
      <c r="H5" s="420"/>
      <c r="I5" s="67" t="s">
        <v>203</v>
      </c>
      <c r="J5" s="67" t="s">
        <v>204</v>
      </c>
      <c r="K5" s="67" t="s">
        <v>463</v>
      </c>
      <c r="L5" s="420"/>
      <c r="M5" s="450"/>
      <c r="N5" s="450"/>
    </row>
    <row r="6" spans="1:22" ht="15" x14ac:dyDescent="0.35">
      <c r="A6" s="97" t="s">
        <v>9</v>
      </c>
      <c r="B6" s="97" t="s">
        <v>10</v>
      </c>
      <c r="C6" s="7" t="s">
        <v>11</v>
      </c>
      <c r="D6" s="7" t="s">
        <v>12</v>
      </c>
      <c r="E6" s="7" t="s">
        <v>13</v>
      </c>
      <c r="F6" s="7" t="s">
        <v>14</v>
      </c>
      <c r="G6" s="7" t="s">
        <v>15</v>
      </c>
      <c r="H6" s="7" t="s">
        <v>185</v>
      </c>
      <c r="I6" s="7" t="s">
        <v>206</v>
      </c>
      <c r="J6" s="7" t="s">
        <v>207</v>
      </c>
      <c r="K6" s="7" t="s">
        <v>208</v>
      </c>
      <c r="L6" s="7" t="s">
        <v>209</v>
      </c>
      <c r="M6" s="7" t="s">
        <v>210</v>
      </c>
      <c r="N6" s="7" t="s">
        <v>211</v>
      </c>
    </row>
    <row r="7" spans="1:22" ht="15" x14ac:dyDescent="0.35">
      <c r="A7" s="190" t="s">
        <v>843</v>
      </c>
      <c r="B7" s="191" t="s">
        <v>556</v>
      </c>
      <c r="C7" s="7"/>
      <c r="D7" s="7"/>
      <c r="E7" s="7"/>
      <c r="F7" s="7"/>
      <c r="G7" s="7"/>
      <c r="H7" s="7"/>
      <c r="I7" s="7"/>
      <c r="J7" s="7"/>
      <c r="K7" s="280">
        <f>AVERAGE(K8,K12,K15,K18,K21,K23,K25,K36,K40)</f>
        <v>97.350456808445315</v>
      </c>
      <c r="L7" s="7"/>
      <c r="M7" s="7"/>
      <c r="N7" s="7"/>
    </row>
    <row r="8" spans="1:22" ht="15" x14ac:dyDescent="0.35">
      <c r="A8" s="454" t="s">
        <v>465</v>
      </c>
      <c r="B8" s="454"/>
      <c r="C8" s="3"/>
      <c r="D8" s="24"/>
      <c r="E8" s="24"/>
      <c r="F8" s="181"/>
      <c r="G8" s="181"/>
      <c r="H8" s="173"/>
      <c r="I8" s="173"/>
      <c r="J8" s="173"/>
      <c r="K8" s="151">
        <f>AVERAGE(J9:J11)</f>
        <v>97.362913352867324</v>
      </c>
      <c r="L8" s="24"/>
      <c r="M8" s="24"/>
      <c r="N8" s="24"/>
    </row>
    <row r="9" spans="1:22" ht="15" x14ac:dyDescent="0.35">
      <c r="A9" s="50" t="s">
        <v>169</v>
      </c>
      <c r="B9" s="3" t="s">
        <v>497</v>
      </c>
      <c r="C9" s="51" t="s">
        <v>466</v>
      </c>
      <c r="D9" s="19" t="s">
        <v>235</v>
      </c>
      <c r="E9" s="24">
        <v>19108</v>
      </c>
      <c r="F9" s="295">
        <f>150/1000*E9</f>
        <v>2866.2</v>
      </c>
      <c r="G9" s="182">
        <v>3889</v>
      </c>
      <c r="H9" s="150">
        <f>G9/E9*1000</f>
        <v>203.52731840066988</v>
      </c>
      <c r="I9" s="150"/>
      <c r="J9" s="294">
        <f>IF(H9&gt;=150,100,IF(H9&gt;145,75,IF(H9&gt;140,50,IF(H9&gt;135,25,IF(H9&lt;=135,0)))))</f>
        <v>100</v>
      </c>
      <c r="K9" s="150"/>
      <c r="L9" s="24"/>
      <c r="M9" s="24"/>
      <c r="N9" s="24"/>
    </row>
    <row r="10" spans="1:22" ht="45" customHeight="1" thickBot="1" x14ac:dyDescent="0.4">
      <c r="A10" s="50" t="s">
        <v>467</v>
      </c>
      <c r="B10" s="3" t="s">
        <v>468</v>
      </c>
      <c r="C10" s="50" t="s">
        <v>469</v>
      </c>
      <c r="D10" s="19" t="s">
        <v>500</v>
      </c>
      <c r="E10" s="348">
        <v>192</v>
      </c>
      <c r="F10" s="152">
        <f>2%*E10</f>
        <v>3.84</v>
      </c>
      <c r="G10" s="152">
        <v>0</v>
      </c>
      <c r="H10" s="183">
        <f>G10/E10*100</f>
        <v>0</v>
      </c>
      <c r="I10" s="152" t="s">
        <v>532</v>
      </c>
      <c r="J10" s="333">
        <f>IF(H10&lt;=2,100,IF(H10&lt;=2.5,75,IF(H10&lt;=3,50,IF(H10&lt;=3.5,25,IF(H10&gt;3.5,0)))))</f>
        <v>100</v>
      </c>
      <c r="K10" s="150"/>
      <c r="L10" s="24"/>
      <c r="M10" s="24"/>
      <c r="N10" s="24"/>
      <c r="P10" s="459" t="s">
        <v>910</v>
      </c>
      <c r="Q10" s="459"/>
      <c r="R10" s="459"/>
      <c r="S10" s="459"/>
      <c r="T10" s="459"/>
      <c r="U10" s="459"/>
      <c r="V10" s="459"/>
    </row>
    <row r="11" spans="1:22" ht="37.4" customHeight="1" thickTop="1" x14ac:dyDescent="0.35">
      <c r="A11" s="50" t="s">
        <v>183</v>
      </c>
      <c r="B11" s="3" t="s">
        <v>470</v>
      </c>
      <c r="C11" s="51" t="s">
        <v>471</v>
      </c>
      <c r="D11" s="19" t="s">
        <v>235</v>
      </c>
      <c r="E11" s="348">
        <v>2389</v>
      </c>
      <c r="F11" s="182">
        <f>5%*E11</f>
        <v>119.45</v>
      </c>
      <c r="G11" s="182">
        <v>110</v>
      </c>
      <c r="H11" s="227">
        <f>(R12+V12)/2</f>
        <v>5.5698784368116181</v>
      </c>
      <c r="I11" s="152" t="s">
        <v>532</v>
      </c>
      <c r="J11" s="164">
        <f t="shared" ref="J11:J14" si="0">IF(G11/F11*100&gt;=100,100,IF(G11/F11*100&lt;100,G11/F11*100))</f>
        <v>92.088740058601928</v>
      </c>
      <c r="K11" s="150"/>
      <c r="L11" s="24"/>
      <c r="M11" s="480" t="s">
        <v>913</v>
      </c>
      <c r="N11" s="481" t="s">
        <v>914</v>
      </c>
      <c r="P11" s="337" t="s">
        <v>904</v>
      </c>
      <c r="Q11" s="338" t="s">
        <v>905</v>
      </c>
      <c r="R11" s="339" t="s">
        <v>906</v>
      </c>
      <c r="T11" s="343" t="s">
        <v>907</v>
      </c>
      <c r="U11" s="338" t="s">
        <v>908</v>
      </c>
      <c r="V11" s="339" t="s">
        <v>909</v>
      </c>
    </row>
    <row r="12" spans="1:22" ht="43.5" customHeight="1" thickBot="1" x14ac:dyDescent="0.4">
      <c r="A12" s="396" t="s">
        <v>779</v>
      </c>
      <c r="B12" s="398"/>
      <c r="C12" s="51"/>
      <c r="D12" s="19"/>
      <c r="E12" s="182"/>
      <c r="F12" s="182"/>
      <c r="G12" s="182"/>
      <c r="H12" s="183"/>
      <c r="I12" s="152"/>
      <c r="J12" s="164"/>
      <c r="K12" s="165">
        <f>AVERAGE(J13:J14)</f>
        <v>87.955942867944401</v>
      </c>
      <c r="L12" s="24"/>
      <c r="M12" s="24"/>
      <c r="N12" s="24"/>
      <c r="P12" s="334">
        <v>26</v>
      </c>
      <c r="Q12" s="335">
        <v>455</v>
      </c>
      <c r="R12" s="336">
        <f>P12/Q12*100</f>
        <v>5.7142857142857144</v>
      </c>
      <c r="T12" s="340">
        <v>95</v>
      </c>
      <c r="U12" s="341">
        <v>1751</v>
      </c>
      <c r="V12" s="342">
        <f>T12/U12*100</f>
        <v>5.4254711593375218</v>
      </c>
    </row>
    <row r="13" spans="1:22" ht="51.65" customHeight="1" thickTop="1" x14ac:dyDescent="0.35">
      <c r="A13" s="50">
        <v>1</v>
      </c>
      <c r="B13" s="3" t="s">
        <v>472</v>
      </c>
      <c r="C13" s="51">
        <v>1</v>
      </c>
      <c r="D13" s="19" t="s">
        <v>235</v>
      </c>
      <c r="E13" s="348">
        <v>12463</v>
      </c>
      <c r="F13" s="182">
        <f>C13*E13</f>
        <v>12463</v>
      </c>
      <c r="G13" s="182">
        <v>11621</v>
      </c>
      <c r="H13" s="150">
        <f t="shared" ref="H13:H14" si="1">G13/E13*100</f>
        <v>93.244002246650084</v>
      </c>
      <c r="I13" s="152" t="s">
        <v>532</v>
      </c>
      <c r="J13" s="164">
        <f t="shared" si="0"/>
        <v>93.244002246650084</v>
      </c>
      <c r="K13" s="150"/>
      <c r="L13" s="24"/>
      <c r="M13" s="483" t="s">
        <v>915</v>
      </c>
      <c r="N13" s="482" t="s">
        <v>916</v>
      </c>
    </row>
    <row r="14" spans="1:22" ht="49.4" customHeight="1" x14ac:dyDescent="0.35">
      <c r="A14" s="50">
        <v>2</v>
      </c>
      <c r="B14" s="3" t="s">
        <v>780</v>
      </c>
      <c r="C14" s="51">
        <v>0.9</v>
      </c>
      <c r="D14" s="19" t="s">
        <v>235</v>
      </c>
      <c r="E14" s="348">
        <v>10227</v>
      </c>
      <c r="F14" s="182">
        <f>C14*E14</f>
        <v>9204.3000000000011</v>
      </c>
      <c r="G14" s="182">
        <v>7609</v>
      </c>
      <c r="H14" s="150">
        <f t="shared" si="1"/>
        <v>74.401095140314851</v>
      </c>
      <c r="I14" s="152"/>
      <c r="J14" s="164">
        <f t="shared" si="0"/>
        <v>82.667883489238719</v>
      </c>
      <c r="K14" s="150"/>
      <c r="L14" s="24"/>
      <c r="M14" s="483" t="s">
        <v>917</v>
      </c>
      <c r="N14" s="482" t="s">
        <v>914</v>
      </c>
    </row>
    <row r="15" spans="1:22" ht="49.4" customHeight="1" x14ac:dyDescent="0.35">
      <c r="A15" s="396" t="s">
        <v>781</v>
      </c>
      <c r="B15" s="398"/>
      <c r="C15" s="51"/>
      <c r="D15" s="19"/>
      <c r="E15" s="182"/>
      <c r="F15" s="182"/>
      <c r="G15" s="182"/>
      <c r="H15" s="150"/>
      <c r="I15" s="254"/>
      <c r="J15" s="164"/>
      <c r="K15" s="165">
        <f>AVERAGE(J16:J17)</f>
        <v>90.835255055196114</v>
      </c>
      <c r="L15" s="24"/>
      <c r="M15" s="24"/>
      <c r="N15" s="24"/>
    </row>
    <row r="16" spans="1:22" ht="49.4" customHeight="1" x14ac:dyDescent="0.35">
      <c r="A16" s="2">
        <v>1</v>
      </c>
      <c r="B16" s="3" t="s">
        <v>473</v>
      </c>
      <c r="C16" s="51">
        <v>1</v>
      </c>
      <c r="D16" s="19" t="s">
        <v>235</v>
      </c>
      <c r="E16" s="348">
        <v>804</v>
      </c>
      <c r="F16" s="182">
        <f t="shared" ref="F16" si="2">C16*E16</f>
        <v>804</v>
      </c>
      <c r="G16" s="182">
        <v>759</v>
      </c>
      <c r="H16" s="150">
        <f t="shared" ref="H16:H17" si="3">G16/E16*100</f>
        <v>94.402985074626869</v>
      </c>
      <c r="I16" s="152" t="s">
        <v>532</v>
      </c>
      <c r="J16" s="164">
        <f t="shared" ref="J16:J17" si="4">IF(G16/F16*100&gt;=100,100,IF(G16/F16*100&lt;100,G16/F16*100))</f>
        <v>94.402985074626869</v>
      </c>
      <c r="K16" s="150"/>
      <c r="L16" s="24"/>
      <c r="M16" s="485" t="s">
        <v>918</v>
      </c>
      <c r="N16" s="484" t="s">
        <v>916</v>
      </c>
    </row>
    <row r="17" spans="1:14" ht="49.4" customHeight="1" x14ac:dyDescent="0.35">
      <c r="A17" s="2">
        <v>2</v>
      </c>
      <c r="B17" s="216" t="s">
        <v>782</v>
      </c>
      <c r="C17" s="51">
        <v>0.9</v>
      </c>
      <c r="D17" s="19" t="s">
        <v>235</v>
      </c>
      <c r="E17" s="348">
        <v>699</v>
      </c>
      <c r="F17" s="182">
        <f>C17*E17</f>
        <v>629.1</v>
      </c>
      <c r="G17" s="182">
        <v>549</v>
      </c>
      <c r="H17" s="150">
        <f t="shared" si="3"/>
        <v>78.540772532188839</v>
      </c>
      <c r="I17" s="254"/>
      <c r="J17" s="164">
        <f t="shared" si="4"/>
        <v>87.267525035765374</v>
      </c>
      <c r="K17" s="150"/>
      <c r="L17" s="24"/>
      <c r="M17" s="485" t="s">
        <v>919</v>
      </c>
      <c r="N17" s="484" t="s">
        <v>914</v>
      </c>
    </row>
    <row r="18" spans="1:14" ht="28" customHeight="1" x14ac:dyDescent="0.35">
      <c r="A18" s="396" t="s">
        <v>817</v>
      </c>
      <c r="B18" s="398"/>
      <c r="C18" s="51"/>
      <c r="D18" s="19"/>
      <c r="E18" s="182"/>
      <c r="F18" s="182"/>
      <c r="G18" s="182"/>
      <c r="H18" s="150"/>
      <c r="I18" s="254"/>
      <c r="J18" s="164"/>
      <c r="K18" s="165">
        <f>AVERAGE(J19:J20)</f>
        <v>100</v>
      </c>
      <c r="L18" s="24"/>
      <c r="M18" s="24"/>
      <c r="N18" s="24"/>
    </row>
    <row r="19" spans="1:14" ht="51" customHeight="1" x14ac:dyDescent="0.35">
      <c r="A19" s="2" t="s">
        <v>224</v>
      </c>
      <c r="B19" s="3" t="s">
        <v>474</v>
      </c>
      <c r="C19" s="51" t="s">
        <v>475</v>
      </c>
      <c r="D19" s="19" t="s">
        <v>502</v>
      </c>
      <c r="E19" s="182">
        <v>8</v>
      </c>
      <c r="F19" s="182">
        <f>1*E19</f>
        <v>8</v>
      </c>
      <c r="G19" s="182">
        <v>8</v>
      </c>
      <c r="H19" s="150">
        <f t="shared" ref="H19:H22" si="5">G19/E19*100</f>
        <v>100</v>
      </c>
      <c r="I19" s="184" t="s">
        <v>532</v>
      </c>
      <c r="J19" s="164">
        <f t="shared" ref="J19:J22" si="6">IF(G19/F19*100&gt;=100,100,IF(G19/F19*100&lt;100,G19/F19*100))</f>
        <v>100</v>
      </c>
      <c r="K19" s="150"/>
      <c r="L19" s="24"/>
      <c r="M19" s="24"/>
      <c r="N19" s="24"/>
    </row>
    <row r="20" spans="1:14" ht="35.5" customHeight="1" x14ac:dyDescent="0.35">
      <c r="A20" s="2" t="s">
        <v>215</v>
      </c>
      <c r="B20" s="3" t="s">
        <v>476</v>
      </c>
      <c r="C20" s="51">
        <v>1</v>
      </c>
      <c r="D20" s="19" t="s">
        <v>262</v>
      </c>
      <c r="E20" s="182">
        <v>28</v>
      </c>
      <c r="F20" s="182">
        <f t="shared" ref="F20" si="7">C20*E20</f>
        <v>28</v>
      </c>
      <c r="G20" s="182">
        <v>28</v>
      </c>
      <c r="H20" s="150">
        <f t="shared" ref="H20" si="8">G20/E20*100</f>
        <v>100</v>
      </c>
      <c r="I20" s="184" t="s">
        <v>532</v>
      </c>
      <c r="J20" s="164">
        <f t="shared" ref="J20" si="9">IF(G20/F20*100&gt;=100,100,IF(G20/F20*100&lt;100,G20/F20*100))</f>
        <v>100</v>
      </c>
      <c r="K20" s="150"/>
      <c r="L20" s="24"/>
      <c r="M20" s="24"/>
      <c r="N20" s="24"/>
    </row>
    <row r="21" spans="1:14" ht="27" customHeight="1" x14ac:dyDescent="0.35">
      <c r="A21" s="396" t="s">
        <v>812</v>
      </c>
      <c r="B21" s="398"/>
      <c r="C21" s="51"/>
      <c r="D21" s="19"/>
      <c r="E21" s="182"/>
      <c r="F21" s="182"/>
      <c r="G21" s="182"/>
      <c r="H21" s="150"/>
      <c r="I21" s="184"/>
      <c r="J21" s="164"/>
      <c r="K21" s="165">
        <f>AVERAGE(J22)</f>
        <v>100</v>
      </c>
      <c r="L21" s="24"/>
      <c r="M21" s="24"/>
      <c r="N21" s="24"/>
    </row>
    <row r="22" spans="1:14" ht="30" x14ac:dyDescent="0.35">
      <c r="A22" s="50" t="s">
        <v>169</v>
      </c>
      <c r="B22" s="3" t="s">
        <v>654</v>
      </c>
      <c r="C22" s="51">
        <v>1</v>
      </c>
      <c r="D22" s="140" t="s">
        <v>501</v>
      </c>
      <c r="E22" s="182">
        <v>4226</v>
      </c>
      <c r="F22" s="182">
        <f>C22*E22</f>
        <v>4226</v>
      </c>
      <c r="G22" s="182">
        <v>4226</v>
      </c>
      <c r="H22" s="150">
        <f t="shared" si="5"/>
        <v>100</v>
      </c>
      <c r="I22" s="187" t="s">
        <v>532</v>
      </c>
      <c r="J22" s="273">
        <f t="shared" si="6"/>
        <v>100</v>
      </c>
      <c r="K22" s="150"/>
      <c r="L22" s="24"/>
      <c r="M22" s="24"/>
      <c r="N22" s="24"/>
    </row>
    <row r="23" spans="1:14" ht="15" x14ac:dyDescent="0.35">
      <c r="A23" s="408" t="s">
        <v>813</v>
      </c>
      <c r="B23" s="408"/>
      <c r="C23" s="50"/>
      <c r="D23" s="140"/>
      <c r="E23" s="182"/>
      <c r="F23" s="182"/>
      <c r="G23" s="182"/>
      <c r="H23" s="150"/>
      <c r="I23" s="150"/>
      <c r="J23" s="150"/>
      <c r="K23" s="165">
        <f>AVERAGE(J24)</f>
        <v>100</v>
      </c>
      <c r="L23" s="24"/>
      <c r="M23" s="24"/>
      <c r="N23" s="24"/>
    </row>
    <row r="24" spans="1:14" ht="30" x14ac:dyDescent="0.35">
      <c r="A24" s="50">
        <v>1</v>
      </c>
      <c r="B24" s="3" t="s">
        <v>477</v>
      </c>
      <c r="C24" s="51">
        <v>1</v>
      </c>
      <c r="D24" s="140" t="s">
        <v>501</v>
      </c>
      <c r="E24" s="182">
        <v>60</v>
      </c>
      <c r="F24" s="182">
        <f t="shared" ref="F24" si="10">C24*E24</f>
        <v>60</v>
      </c>
      <c r="G24" s="182">
        <v>60</v>
      </c>
      <c r="H24" s="150">
        <f t="shared" ref="H24" si="11">G24/E24*100</f>
        <v>100</v>
      </c>
      <c r="I24" s="152" t="s">
        <v>532</v>
      </c>
      <c r="J24" s="164">
        <f>IF(G24/F24*100&gt;=100,100,IF(G24/F24*100&lt;100,G24/F24*100))</f>
        <v>100</v>
      </c>
      <c r="K24" s="150"/>
      <c r="L24" s="24"/>
      <c r="M24" s="24"/>
      <c r="N24" s="24"/>
    </row>
    <row r="25" spans="1:14" ht="15" x14ac:dyDescent="0.35">
      <c r="A25" s="44" t="s">
        <v>814</v>
      </c>
      <c r="B25" s="88"/>
      <c r="C25" s="50"/>
      <c r="D25" s="140"/>
      <c r="E25" s="182"/>
      <c r="F25" s="182"/>
      <c r="G25" s="182"/>
      <c r="H25" s="150"/>
      <c r="I25" s="150"/>
      <c r="J25" s="150"/>
      <c r="K25" s="165">
        <f>AVERAGE(J26:J35)</f>
        <v>100</v>
      </c>
      <c r="L25" s="24"/>
      <c r="M25" s="24"/>
      <c r="N25" s="24"/>
    </row>
    <row r="26" spans="1:14" ht="33.65" customHeight="1" x14ac:dyDescent="0.35">
      <c r="A26" s="50" t="s">
        <v>169</v>
      </c>
      <c r="B26" s="3" t="s">
        <v>478</v>
      </c>
      <c r="C26" s="51">
        <v>0.8</v>
      </c>
      <c r="D26" s="185" t="s">
        <v>539</v>
      </c>
      <c r="E26" s="182">
        <v>138</v>
      </c>
      <c r="F26" s="182">
        <f>C26*E26</f>
        <v>110.4</v>
      </c>
      <c r="G26" s="478">
        <v>121</v>
      </c>
      <c r="H26" s="150">
        <f t="shared" ref="H26:H35" si="12">G26/E26*100</f>
        <v>87.681159420289859</v>
      </c>
      <c r="I26" s="152" t="s">
        <v>532</v>
      </c>
      <c r="J26" s="164">
        <f>IF(G26/F26*100&gt;=100,100,IF(G26/F26*100&lt;100,G26/F26*100))</f>
        <v>100</v>
      </c>
      <c r="K26" s="150"/>
      <c r="L26" s="24"/>
      <c r="M26" s="24"/>
      <c r="N26" s="24"/>
    </row>
    <row r="27" spans="1:14" ht="30" x14ac:dyDescent="0.35">
      <c r="A27" s="50" t="s">
        <v>479</v>
      </c>
      <c r="B27" s="255" t="s">
        <v>696</v>
      </c>
      <c r="C27" s="51">
        <v>0.85</v>
      </c>
      <c r="D27" s="185" t="s">
        <v>540</v>
      </c>
      <c r="E27" s="182">
        <v>40</v>
      </c>
      <c r="F27" s="182">
        <f>C27*E27</f>
        <v>34</v>
      </c>
      <c r="G27" s="478">
        <v>39</v>
      </c>
      <c r="H27" s="150">
        <f t="shared" si="12"/>
        <v>97.5</v>
      </c>
      <c r="I27" s="152" t="s">
        <v>532</v>
      </c>
      <c r="J27" s="164">
        <f>IF(G27/F27*100&gt;=100,100,IF(G27/F27*100&lt;100,G27/F27*100))</f>
        <v>100</v>
      </c>
      <c r="K27" s="150"/>
      <c r="L27" s="24"/>
      <c r="M27" s="24"/>
      <c r="N27" s="24"/>
    </row>
    <row r="28" spans="1:14" ht="37.5" customHeight="1" x14ac:dyDescent="0.35">
      <c r="A28" s="50" t="s">
        <v>183</v>
      </c>
      <c r="B28" s="255" t="s">
        <v>697</v>
      </c>
      <c r="C28" s="51">
        <v>1</v>
      </c>
      <c r="D28" s="185" t="s">
        <v>698</v>
      </c>
      <c r="E28" s="182">
        <v>5</v>
      </c>
      <c r="F28" s="182">
        <f>C28*E28</f>
        <v>5</v>
      </c>
      <c r="G28" s="478">
        <v>5</v>
      </c>
      <c r="H28" s="150">
        <f t="shared" si="12"/>
        <v>100</v>
      </c>
      <c r="I28" s="152" t="s">
        <v>532</v>
      </c>
      <c r="J28" s="164">
        <f t="shared" ref="J28:J32" si="13">IF(G28/F28*100&gt;=100,100,IF(G28/F28*100&lt;100,G28/F28*100))</f>
        <v>100</v>
      </c>
      <c r="K28" s="150"/>
      <c r="L28" s="24"/>
      <c r="M28" s="24"/>
      <c r="N28" s="24"/>
    </row>
    <row r="29" spans="1:14" ht="47.5" customHeight="1" x14ac:dyDescent="0.35">
      <c r="A29" s="50">
        <v>4</v>
      </c>
      <c r="B29" s="3" t="s">
        <v>480</v>
      </c>
      <c r="C29" s="51" t="s">
        <v>481</v>
      </c>
      <c r="D29" s="185" t="s">
        <v>541</v>
      </c>
      <c r="E29" s="182">
        <v>25</v>
      </c>
      <c r="F29" s="182">
        <f>20%*E29</f>
        <v>5</v>
      </c>
      <c r="G29" s="478">
        <v>2</v>
      </c>
      <c r="H29" s="150">
        <f t="shared" si="12"/>
        <v>8</v>
      </c>
      <c r="I29" s="152" t="s">
        <v>532</v>
      </c>
      <c r="J29" s="164">
        <v>100</v>
      </c>
      <c r="K29" s="150"/>
      <c r="L29" s="24"/>
      <c r="M29" s="24"/>
      <c r="N29" s="24"/>
    </row>
    <row r="30" spans="1:14" ht="47.5" customHeight="1" x14ac:dyDescent="0.35">
      <c r="A30" s="50" t="s">
        <v>249</v>
      </c>
      <c r="B30" s="3" t="s">
        <v>482</v>
      </c>
      <c r="C30" s="51" t="s">
        <v>483</v>
      </c>
      <c r="D30" s="185" t="s">
        <v>541</v>
      </c>
      <c r="E30" s="182">
        <v>25</v>
      </c>
      <c r="F30" s="182">
        <f>8%*E30</f>
        <v>2</v>
      </c>
      <c r="G30" s="478">
        <v>2</v>
      </c>
      <c r="H30" s="150">
        <f t="shared" si="12"/>
        <v>8</v>
      </c>
      <c r="I30" s="152" t="s">
        <v>532</v>
      </c>
      <c r="J30" s="164">
        <f t="shared" si="13"/>
        <v>100</v>
      </c>
      <c r="K30" s="150"/>
      <c r="L30" s="24"/>
      <c r="M30" s="24"/>
      <c r="N30" s="24"/>
    </row>
    <row r="31" spans="1:14" ht="20.149999999999999" customHeight="1" x14ac:dyDescent="0.35">
      <c r="A31" s="50" t="s">
        <v>375</v>
      </c>
      <c r="B31" s="3" t="s">
        <v>484</v>
      </c>
      <c r="C31" s="51" t="s">
        <v>485</v>
      </c>
      <c r="D31" s="185" t="s">
        <v>541</v>
      </c>
      <c r="E31" s="182">
        <v>25</v>
      </c>
      <c r="F31" s="182">
        <f>1%*E31</f>
        <v>0.25</v>
      </c>
      <c r="G31" s="478">
        <v>0</v>
      </c>
      <c r="H31" s="150">
        <f t="shared" si="12"/>
        <v>0</v>
      </c>
      <c r="I31" s="152" t="s">
        <v>532</v>
      </c>
      <c r="J31" s="164">
        <v>100</v>
      </c>
      <c r="K31" s="150"/>
      <c r="L31" s="24"/>
      <c r="M31" s="24"/>
      <c r="N31" s="24"/>
    </row>
    <row r="32" spans="1:14" ht="36.75" customHeight="1" x14ac:dyDescent="0.35">
      <c r="A32" s="2">
        <v>7</v>
      </c>
      <c r="B32" s="3" t="s">
        <v>486</v>
      </c>
      <c r="C32" s="51" t="s">
        <v>487</v>
      </c>
      <c r="D32" s="186" t="s">
        <v>541</v>
      </c>
      <c r="E32" s="182">
        <v>7.81</v>
      </c>
      <c r="F32" s="182">
        <f>2.6%*E32</f>
        <v>0.20306000000000002</v>
      </c>
      <c r="G32" s="477" t="s">
        <v>912</v>
      </c>
      <c r="H32" s="150">
        <f t="shared" si="12"/>
        <v>98.591549295774655</v>
      </c>
      <c r="I32" s="184" t="s">
        <v>532</v>
      </c>
      <c r="J32" s="164">
        <f t="shared" si="13"/>
        <v>100</v>
      </c>
      <c r="K32" s="150"/>
      <c r="L32" s="24"/>
      <c r="M32" s="24"/>
      <c r="N32" s="24"/>
    </row>
    <row r="33" spans="1:16" ht="33" customHeight="1" x14ac:dyDescent="0.35">
      <c r="A33" s="2">
        <v>8</v>
      </c>
      <c r="B33" s="3" t="s">
        <v>488</v>
      </c>
      <c r="C33" s="51">
        <v>0.8</v>
      </c>
      <c r="D33" s="185" t="s">
        <v>541</v>
      </c>
      <c r="E33" s="182">
        <v>1583</v>
      </c>
      <c r="F33" s="182">
        <f>C33*E33</f>
        <v>1266.4000000000001</v>
      </c>
      <c r="G33" s="479">
        <v>1563</v>
      </c>
      <c r="H33" s="150">
        <f t="shared" si="12"/>
        <v>98.736576121288692</v>
      </c>
      <c r="I33" s="184" t="s">
        <v>532</v>
      </c>
      <c r="J33" s="164">
        <f t="shared" ref="J33:J35" si="14">IF(G33/F33*100&gt;=100,100,IF(G33/F33*100&lt;100,G33/F33*100))</f>
        <v>100</v>
      </c>
      <c r="K33" s="24"/>
      <c r="L33" s="24"/>
      <c r="M33" s="24"/>
      <c r="N33" s="24"/>
    </row>
    <row r="34" spans="1:16" ht="15" x14ac:dyDescent="0.35">
      <c r="A34" s="2">
        <v>9</v>
      </c>
      <c r="B34" s="3" t="s">
        <v>489</v>
      </c>
      <c r="C34" s="51">
        <v>0.05</v>
      </c>
      <c r="D34" s="316" t="s">
        <v>512</v>
      </c>
      <c r="E34" s="182">
        <v>450</v>
      </c>
      <c r="F34" s="182">
        <f>C34*E34</f>
        <v>22.5</v>
      </c>
      <c r="G34" s="478">
        <v>25</v>
      </c>
      <c r="H34" s="150">
        <f t="shared" si="12"/>
        <v>5.5555555555555554</v>
      </c>
      <c r="I34" s="184"/>
      <c r="J34" s="293">
        <f>IF(G34/F34*100&gt;=100,100,IF(G34/F34*100&lt;100,G34/F34*100))</f>
        <v>100</v>
      </c>
      <c r="K34" s="24"/>
      <c r="L34" s="24"/>
      <c r="M34" s="24"/>
      <c r="N34" s="24"/>
    </row>
    <row r="35" spans="1:16" ht="15" x14ac:dyDescent="0.35">
      <c r="A35" s="2">
        <v>10</v>
      </c>
      <c r="B35" s="3" t="s">
        <v>490</v>
      </c>
      <c r="C35" s="51">
        <v>0.8</v>
      </c>
      <c r="D35" s="316" t="s">
        <v>889</v>
      </c>
      <c r="E35" s="182">
        <v>3</v>
      </c>
      <c r="F35" s="182">
        <f>C35*E35</f>
        <v>2.4000000000000004</v>
      </c>
      <c r="G35" s="478">
        <v>3</v>
      </c>
      <c r="H35" s="150">
        <f t="shared" si="12"/>
        <v>100</v>
      </c>
      <c r="I35" s="184" t="s">
        <v>532</v>
      </c>
      <c r="J35" s="164">
        <f t="shared" si="14"/>
        <v>100</v>
      </c>
      <c r="K35" s="24"/>
      <c r="L35" s="24"/>
      <c r="M35" s="24"/>
      <c r="N35" s="24"/>
    </row>
    <row r="36" spans="1:16" ht="15" x14ac:dyDescent="0.35">
      <c r="A36" s="458" t="s">
        <v>815</v>
      </c>
      <c r="B36" s="458"/>
      <c r="C36" s="50"/>
      <c r="D36" s="140"/>
      <c r="E36" s="182"/>
      <c r="F36" s="182"/>
      <c r="G36" s="182"/>
      <c r="H36" s="150"/>
      <c r="I36" s="150"/>
      <c r="J36" s="150"/>
      <c r="K36" s="165">
        <f>AVERAGE(J37:J39)</f>
        <v>100</v>
      </c>
      <c r="L36" s="24"/>
      <c r="M36" s="24"/>
      <c r="N36" s="24"/>
    </row>
    <row r="37" spans="1:16" ht="30" x14ac:dyDescent="0.35">
      <c r="A37" s="68" t="s">
        <v>169</v>
      </c>
      <c r="B37" s="3" t="s">
        <v>491</v>
      </c>
      <c r="C37" s="57">
        <v>0.6</v>
      </c>
      <c r="D37" s="325" t="s">
        <v>890</v>
      </c>
      <c r="E37" s="182">
        <v>30</v>
      </c>
      <c r="F37" s="182">
        <f>C37*E37</f>
        <v>18</v>
      </c>
      <c r="G37" s="476">
        <v>30</v>
      </c>
      <c r="H37" s="150">
        <f t="shared" ref="H37:H39" si="15">G37/E37*100</f>
        <v>100</v>
      </c>
      <c r="I37" s="184" t="s">
        <v>532</v>
      </c>
      <c r="J37" s="164">
        <f t="shared" ref="J37:J39" si="16">IF(G37/F37*100&gt;=100,100,IF(G37/F37*100&lt;100,G37/F37*100))</f>
        <v>100</v>
      </c>
      <c r="K37" s="150"/>
      <c r="L37" s="24"/>
      <c r="M37" s="24"/>
      <c r="N37" s="24"/>
    </row>
    <row r="38" spans="1:16" ht="45" x14ac:dyDescent="0.35">
      <c r="A38" s="50" t="s">
        <v>215</v>
      </c>
      <c r="B38" s="3" t="s">
        <v>492</v>
      </c>
      <c r="C38" s="57">
        <v>1</v>
      </c>
      <c r="D38" s="325" t="s">
        <v>542</v>
      </c>
      <c r="E38" s="182">
        <v>709</v>
      </c>
      <c r="F38" s="182">
        <f>C38*E38</f>
        <v>709</v>
      </c>
      <c r="G38" s="476">
        <v>709</v>
      </c>
      <c r="H38" s="150">
        <f t="shared" si="15"/>
        <v>100</v>
      </c>
      <c r="I38" s="184" t="s">
        <v>532</v>
      </c>
      <c r="J38" s="164">
        <f t="shared" si="16"/>
        <v>100</v>
      </c>
      <c r="K38" s="150"/>
      <c r="L38" s="24"/>
      <c r="M38" s="24"/>
      <c r="N38" s="24"/>
    </row>
    <row r="39" spans="1:16" ht="30" x14ac:dyDescent="0.35">
      <c r="A39" s="50" t="s">
        <v>183</v>
      </c>
      <c r="B39" s="3" t="s">
        <v>493</v>
      </c>
      <c r="C39" s="57">
        <v>1</v>
      </c>
      <c r="D39" s="325" t="s">
        <v>542</v>
      </c>
      <c r="E39" s="182">
        <v>30</v>
      </c>
      <c r="F39" s="182">
        <f>C39*E39</f>
        <v>30</v>
      </c>
      <c r="G39" s="476">
        <v>30</v>
      </c>
      <c r="H39" s="150">
        <f t="shared" si="15"/>
        <v>100</v>
      </c>
      <c r="I39" s="184" t="s">
        <v>532</v>
      </c>
      <c r="J39" s="164">
        <f t="shared" si="16"/>
        <v>100</v>
      </c>
      <c r="K39" s="150"/>
      <c r="L39" s="24"/>
      <c r="M39" s="24"/>
      <c r="N39" s="24"/>
    </row>
    <row r="40" spans="1:16" ht="15" x14ac:dyDescent="0.35">
      <c r="A40" s="408" t="s">
        <v>816</v>
      </c>
      <c r="B40" s="408"/>
      <c r="C40" s="50"/>
      <c r="D40" s="140"/>
      <c r="E40" s="182"/>
      <c r="F40" s="182"/>
      <c r="G40" s="182"/>
      <c r="H40" s="150"/>
      <c r="I40" s="150"/>
      <c r="J40" s="150"/>
      <c r="K40" s="165">
        <f>AVERAGE(J41:J42)</f>
        <v>100</v>
      </c>
      <c r="L40" s="24"/>
      <c r="M40" s="24"/>
      <c r="N40" s="24"/>
    </row>
    <row r="41" spans="1:16" ht="15" x14ac:dyDescent="0.35">
      <c r="A41" s="50" t="s">
        <v>169</v>
      </c>
      <c r="B41" s="3" t="s">
        <v>494</v>
      </c>
      <c r="C41" s="51" t="s">
        <v>495</v>
      </c>
      <c r="D41" s="140" t="s">
        <v>892</v>
      </c>
      <c r="E41" s="182">
        <v>195</v>
      </c>
      <c r="F41" s="182">
        <f>60%*E41</f>
        <v>117</v>
      </c>
      <c r="G41" s="182">
        <v>52</v>
      </c>
      <c r="H41" s="150">
        <f t="shared" ref="H41:H42" si="17">G41/E41*100</f>
        <v>26.666666666666668</v>
      </c>
      <c r="I41" s="184" t="s">
        <v>532</v>
      </c>
      <c r="J41" s="296">
        <f>IF(H41&lt;10,0,IF(H41&lt;=60,100,IF(H41&lt;=70,75,IF(H41&lt;=80,50,IF(H41&lt;=90,25,IF(H41&gt;90,0))))))</f>
        <v>100</v>
      </c>
      <c r="K41" s="150"/>
      <c r="L41" s="24"/>
      <c r="M41" s="24"/>
      <c r="N41" s="24"/>
    </row>
    <row r="42" spans="1:16" ht="30" x14ac:dyDescent="0.35">
      <c r="A42" s="50" t="s">
        <v>215</v>
      </c>
      <c r="B42" s="3" t="s">
        <v>496</v>
      </c>
      <c r="C42" s="51">
        <v>1</v>
      </c>
      <c r="D42" s="140" t="s">
        <v>891</v>
      </c>
      <c r="E42" s="182">
        <v>200</v>
      </c>
      <c r="F42" s="182">
        <f>C42*E42</f>
        <v>200</v>
      </c>
      <c r="G42" s="182">
        <v>200</v>
      </c>
      <c r="H42" s="150">
        <f t="shared" si="17"/>
        <v>100</v>
      </c>
      <c r="I42" s="187" t="s">
        <v>532</v>
      </c>
      <c r="J42" s="273">
        <f t="shared" ref="J42" si="18">IF(G42/F42*100&gt;=100,100,IF(G42/F42*100&lt;100,G42/F42*100))</f>
        <v>100</v>
      </c>
      <c r="K42" s="150"/>
      <c r="L42" s="24"/>
      <c r="M42" s="24"/>
      <c r="N42" s="24"/>
    </row>
    <row r="44" spans="1:16" ht="15.65" customHeight="1" x14ac:dyDescent="0.35">
      <c r="A44" s="118"/>
      <c r="B44" s="456" t="s">
        <v>517</v>
      </c>
      <c r="C44" s="457"/>
      <c r="D44" s="129"/>
      <c r="E44" s="1"/>
      <c r="F44" s="1"/>
      <c r="G44" s="1"/>
      <c r="H44" s="1"/>
      <c r="I44" s="1"/>
      <c r="J44" s="1"/>
      <c r="K44" s="1"/>
      <c r="L44" s="1"/>
      <c r="M44" s="1"/>
      <c r="O44" s="1"/>
      <c r="P44" s="1"/>
    </row>
    <row r="45" spans="1:16" ht="15.65" customHeight="1" x14ac:dyDescent="0.35">
      <c r="A45" s="118"/>
      <c r="B45" s="116" t="s">
        <v>305</v>
      </c>
      <c r="C45" s="113" t="s">
        <v>515</v>
      </c>
      <c r="E45" s="1"/>
      <c r="F45" s="1"/>
      <c r="G45" s="1"/>
      <c r="H45" s="1"/>
      <c r="I45" s="1"/>
      <c r="J45" s="1"/>
      <c r="K45" s="1"/>
      <c r="L45" s="1"/>
      <c r="M45" s="1"/>
      <c r="O45" s="1"/>
      <c r="P45" s="1"/>
    </row>
    <row r="46" spans="1:16" ht="15.5" x14ac:dyDescent="0.35">
      <c r="A46" s="118"/>
      <c r="B46" s="116" t="s">
        <v>307</v>
      </c>
      <c r="C46" s="115" t="s">
        <v>308</v>
      </c>
      <c r="E46" s="1"/>
      <c r="F46" s="1"/>
      <c r="G46" s="1"/>
      <c r="H46" s="1"/>
      <c r="I46" s="1"/>
      <c r="J46" s="1"/>
      <c r="K46" s="1"/>
      <c r="L46" s="1"/>
      <c r="M46" s="1"/>
      <c r="O46" s="1"/>
      <c r="P46" s="1"/>
    </row>
    <row r="47" spans="1:16" ht="15.65" customHeight="1" x14ac:dyDescent="0.35">
      <c r="A47" s="105"/>
      <c r="B47" s="116" t="s">
        <v>309</v>
      </c>
      <c r="C47" s="113" t="s">
        <v>516</v>
      </c>
      <c r="E47" s="105"/>
      <c r="F47" s="105"/>
      <c r="G47" s="105"/>
      <c r="H47" s="105"/>
      <c r="I47" s="105"/>
      <c r="J47" s="105"/>
      <c r="K47" s="105"/>
      <c r="L47" s="105"/>
      <c r="M47" s="105"/>
      <c r="O47" s="1"/>
      <c r="P47" s="1"/>
    </row>
    <row r="48" spans="1:16" ht="30.5" x14ac:dyDescent="0.35">
      <c r="A48" s="119" t="s">
        <v>311</v>
      </c>
      <c r="B48" s="72" t="s">
        <v>312</v>
      </c>
      <c r="C48" s="120"/>
      <c r="D48" s="121"/>
      <c r="E48" s="122"/>
      <c r="F48" s="122"/>
      <c r="G48" s="123"/>
      <c r="H48" s="123"/>
      <c r="I48" s="123"/>
      <c r="J48" s="123"/>
      <c r="K48" s="123"/>
      <c r="L48" s="123"/>
      <c r="M48" s="123"/>
    </row>
    <row r="49" spans="1:14" ht="15.5" x14ac:dyDescent="0.35">
      <c r="A49" s="124">
        <v>2</v>
      </c>
      <c r="B49" s="76" t="s">
        <v>313</v>
      </c>
      <c r="C49" s="76"/>
      <c r="D49" s="76"/>
      <c r="E49" s="76"/>
      <c r="F49" s="76"/>
      <c r="G49" s="76"/>
      <c r="H49" s="76"/>
      <c r="I49" s="76"/>
      <c r="J49" s="76"/>
      <c r="K49" s="76"/>
      <c r="L49" s="76"/>
      <c r="M49" s="76"/>
    </row>
    <row r="50" spans="1:14" ht="15.5" x14ac:dyDescent="0.35">
      <c r="A50" s="124"/>
      <c r="B50" s="76" t="s">
        <v>314</v>
      </c>
      <c r="C50" s="76"/>
      <c r="D50" s="76"/>
      <c r="E50" s="76"/>
      <c r="F50" s="76"/>
      <c r="G50" s="76"/>
      <c r="H50" s="76"/>
      <c r="I50" s="76"/>
      <c r="J50" s="76"/>
      <c r="K50" s="76"/>
      <c r="L50" s="85"/>
      <c r="M50" s="85"/>
    </row>
    <row r="51" spans="1:14" ht="15.5" x14ac:dyDescent="0.35">
      <c r="A51" s="124"/>
      <c r="B51" s="76" t="s">
        <v>315</v>
      </c>
      <c r="C51" s="76"/>
      <c r="D51" s="76"/>
      <c r="E51" s="76"/>
      <c r="F51" s="76"/>
      <c r="G51" s="76"/>
      <c r="H51" s="76"/>
      <c r="I51" s="76"/>
      <c r="J51" s="76"/>
      <c r="K51" s="76"/>
      <c r="L51" s="85"/>
      <c r="M51" s="85"/>
    </row>
    <row r="52" spans="1:14" ht="34.4" customHeight="1" x14ac:dyDescent="0.35">
      <c r="A52" s="124"/>
      <c r="B52" s="445" t="s">
        <v>316</v>
      </c>
      <c r="C52" s="446"/>
      <c r="D52" s="446"/>
      <c r="E52" s="446"/>
      <c r="F52" s="446"/>
      <c r="G52" s="446"/>
      <c r="H52" s="446"/>
      <c r="I52" s="446"/>
      <c r="J52" s="446"/>
      <c r="K52" s="446"/>
      <c r="L52" s="446"/>
      <c r="M52" s="446"/>
      <c r="N52" s="446"/>
    </row>
    <row r="53" spans="1:14" ht="15.5" x14ac:dyDescent="0.35">
      <c r="A53" s="124">
        <v>3</v>
      </c>
      <c r="B53" s="76" t="s">
        <v>818</v>
      </c>
      <c r="C53" s="76"/>
      <c r="D53" s="76"/>
      <c r="E53" s="76"/>
      <c r="F53" s="76"/>
      <c r="G53" s="76"/>
      <c r="H53" s="76"/>
      <c r="I53" s="76"/>
      <c r="J53" s="76"/>
      <c r="K53" s="76"/>
      <c r="L53" s="85"/>
      <c r="M53" s="85"/>
    </row>
    <row r="54" spans="1:14" ht="15.5" x14ac:dyDescent="0.35">
      <c r="A54" s="124">
        <v>4</v>
      </c>
      <c r="B54" s="78" t="s">
        <v>317</v>
      </c>
      <c r="C54" s="78"/>
      <c r="D54" s="78"/>
      <c r="E54" s="78"/>
      <c r="F54" s="78"/>
      <c r="G54" s="85"/>
      <c r="H54" s="85"/>
      <c r="I54" s="85"/>
      <c r="J54" s="85"/>
      <c r="K54" s="85"/>
      <c r="L54" s="85"/>
      <c r="M54" s="85"/>
    </row>
    <row r="55" spans="1:14" ht="15.5" x14ac:dyDescent="0.35">
      <c r="A55" s="124">
        <v>5</v>
      </c>
      <c r="B55" s="78" t="s">
        <v>318</v>
      </c>
      <c r="C55" s="78"/>
      <c r="D55" s="78"/>
      <c r="E55" s="78"/>
      <c r="F55" s="78"/>
      <c r="G55" s="85"/>
      <c r="H55" s="85"/>
      <c r="I55" s="85"/>
      <c r="J55" s="85"/>
      <c r="K55" s="85"/>
      <c r="L55" s="85"/>
      <c r="M55" s="85"/>
    </row>
    <row r="56" spans="1:14" ht="15.5" x14ac:dyDescent="0.35">
      <c r="A56" s="124">
        <v>6</v>
      </c>
      <c r="B56" s="76" t="s">
        <v>823</v>
      </c>
      <c r="C56" s="76"/>
      <c r="D56" s="76"/>
      <c r="E56" s="76"/>
      <c r="F56" s="76"/>
      <c r="G56" s="76"/>
      <c r="H56" s="76"/>
      <c r="I56" s="76"/>
      <c r="J56" s="76"/>
      <c r="K56" s="76"/>
      <c r="L56" s="120"/>
      <c r="M56" s="120"/>
    </row>
    <row r="57" spans="1:14" ht="15.5" x14ac:dyDescent="0.35">
      <c r="A57" s="124">
        <v>7</v>
      </c>
      <c r="B57" s="76" t="s">
        <v>319</v>
      </c>
      <c r="C57" s="120"/>
      <c r="D57" s="120"/>
      <c r="E57" s="120"/>
      <c r="F57" s="120"/>
      <c r="G57" s="120"/>
      <c r="H57" s="120"/>
      <c r="I57" s="120"/>
      <c r="J57" s="120"/>
      <c r="K57" s="120"/>
      <c r="L57" s="120"/>
      <c r="M57" s="120"/>
    </row>
    <row r="58" spans="1:14" ht="15.5" x14ac:dyDescent="0.35">
      <c r="A58" s="124">
        <v>8</v>
      </c>
      <c r="B58" s="76" t="s">
        <v>320</v>
      </c>
      <c r="C58" s="120"/>
      <c r="D58" s="120"/>
      <c r="E58" s="120"/>
      <c r="F58" s="120"/>
      <c r="G58" s="120"/>
      <c r="H58" s="120"/>
      <c r="I58" s="120"/>
      <c r="J58" s="120"/>
      <c r="K58" s="120"/>
      <c r="L58" s="120"/>
      <c r="M58" s="120"/>
    </row>
    <row r="59" spans="1:14" ht="15.5" x14ac:dyDescent="0.35">
      <c r="A59" s="125" t="s">
        <v>321</v>
      </c>
      <c r="B59" s="76" t="s">
        <v>322</v>
      </c>
      <c r="C59" s="120"/>
      <c r="D59" s="120"/>
      <c r="E59" s="120"/>
      <c r="F59" s="120"/>
      <c r="G59" s="120"/>
      <c r="H59" s="120"/>
      <c r="I59" s="120"/>
      <c r="J59" s="120"/>
      <c r="K59" s="120"/>
      <c r="L59" s="120"/>
      <c r="M59" s="120"/>
    </row>
    <row r="60" spans="1:14" ht="15.5" x14ac:dyDescent="0.35">
      <c r="A60" s="124">
        <v>9</v>
      </c>
      <c r="B60" s="76" t="s">
        <v>323</v>
      </c>
      <c r="C60" s="120"/>
      <c r="D60" s="120"/>
      <c r="E60" s="120"/>
      <c r="F60" s="120"/>
      <c r="G60" s="120"/>
      <c r="H60" s="120"/>
      <c r="I60" s="120"/>
      <c r="J60" s="120"/>
      <c r="K60" s="120"/>
      <c r="L60" s="120"/>
      <c r="M60" s="120"/>
    </row>
    <row r="61" spans="1:14" ht="15.5" x14ac:dyDescent="0.35">
      <c r="A61" s="124">
        <v>10</v>
      </c>
      <c r="B61" s="76" t="s">
        <v>324</v>
      </c>
      <c r="C61" s="120"/>
      <c r="D61" s="120"/>
      <c r="E61" s="120"/>
      <c r="F61" s="120"/>
      <c r="G61" s="120"/>
      <c r="H61" s="120"/>
      <c r="I61" s="120"/>
      <c r="J61" s="120"/>
      <c r="K61" s="120"/>
      <c r="L61" s="120"/>
      <c r="M61" s="120"/>
    </row>
    <row r="62" spans="1:14" ht="15.5" x14ac:dyDescent="0.35">
      <c r="A62" s="124"/>
      <c r="B62" s="76" t="s">
        <v>325</v>
      </c>
      <c r="C62" s="120"/>
      <c r="D62" s="120"/>
      <c r="E62" s="120"/>
      <c r="F62" s="120"/>
      <c r="G62" s="120"/>
      <c r="H62" s="120"/>
      <c r="I62" s="120"/>
      <c r="J62" s="120"/>
      <c r="K62" s="120"/>
      <c r="L62" s="120"/>
      <c r="M62" s="120"/>
    </row>
    <row r="63" spans="1:14" ht="15.5" x14ac:dyDescent="0.35">
      <c r="A63" s="124">
        <v>11</v>
      </c>
      <c r="B63" s="76" t="s">
        <v>326</v>
      </c>
      <c r="C63" s="120"/>
      <c r="D63" s="120"/>
      <c r="E63" s="120"/>
      <c r="F63" s="120"/>
      <c r="G63" s="120"/>
      <c r="H63" s="120"/>
      <c r="I63" s="120"/>
      <c r="J63" s="120"/>
      <c r="K63" s="120"/>
      <c r="L63" s="120"/>
      <c r="M63" s="120"/>
    </row>
    <row r="64" spans="1:14" ht="15.5" x14ac:dyDescent="0.35">
      <c r="A64" s="124">
        <v>12</v>
      </c>
      <c r="B64" s="120" t="s">
        <v>842</v>
      </c>
      <c r="C64" s="120"/>
      <c r="D64" s="120"/>
      <c r="E64" s="120"/>
      <c r="F64" s="120"/>
      <c r="G64" s="120"/>
      <c r="H64" s="120"/>
      <c r="I64" s="120"/>
      <c r="J64" s="120"/>
      <c r="K64" s="120"/>
      <c r="L64" s="120"/>
      <c r="M64" s="120"/>
    </row>
    <row r="65" spans="1:13" ht="15.5" x14ac:dyDescent="0.35">
      <c r="A65" s="124">
        <v>13</v>
      </c>
      <c r="B65" s="80" t="s">
        <v>327</v>
      </c>
      <c r="C65" s="117"/>
      <c r="D65" s="117"/>
      <c r="E65" s="117"/>
      <c r="F65" s="126"/>
      <c r="G65" s="120"/>
      <c r="H65" s="120"/>
      <c r="I65" s="120"/>
      <c r="J65" s="120"/>
      <c r="K65" s="120"/>
      <c r="L65" s="120"/>
      <c r="M65" s="127"/>
    </row>
    <row r="66" spans="1:13" ht="15.5" x14ac:dyDescent="0.35">
      <c r="A66" s="124">
        <v>14</v>
      </c>
      <c r="B66" s="80" t="s">
        <v>328</v>
      </c>
      <c r="C66" s="117"/>
      <c r="D66" s="117"/>
      <c r="E66" s="117"/>
      <c r="F66" s="126"/>
      <c r="G66" s="120"/>
      <c r="H66" s="120"/>
      <c r="I66" s="120"/>
      <c r="J66" s="120"/>
      <c r="K66" s="120"/>
      <c r="L66" s="120"/>
      <c r="M66" s="127"/>
    </row>
  </sheetData>
  <mergeCells count="25">
    <mergeCell ref="P10:V10"/>
    <mergeCell ref="A1:N1"/>
    <mergeCell ref="I4:K4"/>
    <mergeCell ref="L4:L5"/>
    <mergeCell ref="M4:M5"/>
    <mergeCell ref="N4:N5"/>
    <mergeCell ref="B2:M2"/>
    <mergeCell ref="A4:A5"/>
    <mergeCell ref="B4:B5"/>
    <mergeCell ref="C4:C5"/>
    <mergeCell ref="B52:N52"/>
    <mergeCell ref="B44:C44"/>
    <mergeCell ref="D4:D5"/>
    <mergeCell ref="E4:E5"/>
    <mergeCell ref="F4:F5"/>
    <mergeCell ref="G4:G5"/>
    <mergeCell ref="H4:H5"/>
    <mergeCell ref="A40:B40"/>
    <mergeCell ref="A36:B36"/>
    <mergeCell ref="A8:B8"/>
    <mergeCell ref="A23:B23"/>
    <mergeCell ref="A12:B12"/>
    <mergeCell ref="A15:B15"/>
    <mergeCell ref="A18:B18"/>
    <mergeCell ref="A21:B21"/>
  </mergeCells>
  <pageMargins left="0.7" right="0.7" top="0.75" bottom="0.75" header="0.3" footer="0.3"/>
  <pageSetup paperSize="14" scale="63" fitToHeight="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6"/>
  <sheetViews>
    <sheetView view="pageBreakPreview" zoomScale="60" zoomScaleNormal="55" workbookViewId="0">
      <selection activeCell="J15" sqref="J15"/>
    </sheetView>
  </sheetViews>
  <sheetFormatPr defaultRowHeight="15.5" x14ac:dyDescent="0.35"/>
  <cols>
    <col min="1" max="1" width="9.54296875" style="29" bestFit="1" customWidth="1"/>
    <col min="2" max="2" width="37.453125" customWidth="1"/>
    <col min="3" max="3" width="17.453125" style="29" customWidth="1"/>
    <col min="4" max="4" width="10.453125" style="132" customWidth="1"/>
    <col min="5" max="5" width="13.1796875" style="29" customWidth="1"/>
    <col min="6" max="6" width="15.1796875" style="29" customWidth="1"/>
    <col min="7" max="7" width="22.1796875" style="29" customWidth="1"/>
    <col min="8" max="8" width="13.1796875" style="29" customWidth="1"/>
    <col min="9" max="9" width="10.453125" customWidth="1"/>
    <col min="10" max="10" width="11.453125" style="29" customWidth="1"/>
    <col min="11" max="11" width="14.1796875" customWidth="1"/>
    <col min="12" max="12" width="20.453125" customWidth="1"/>
    <col min="13" max="13" width="17.81640625" customWidth="1"/>
    <col min="14" max="14" width="16" customWidth="1"/>
  </cols>
  <sheetData>
    <row r="1" spans="1:14" ht="15" x14ac:dyDescent="0.35">
      <c r="A1" s="460" t="s">
        <v>509</v>
      </c>
      <c r="B1" s="460"/>
      <c r="C1" s="460"/>
      <c r="D1" s="460"/>
      <c r="E1" s="460"/>
      <c r="F1" s="460"/>
      <c r="G1" s="460"/>
      <c r="H1" s="460"/>
      <c r="I1" s="460"/>
      <c r="J1" s="460"/>
      <c r="K1" s="460"/>
      <c r="L1" s="460"/>
      <c r="M1" s="460"/>
      <c r="N1" s="460"/>
    </row>
    <row r="2" spans="1:14" ht="15" x14ac:dyDescent="0.35">
      <c r="A2" s="461" t="s">
        <v>510</v>
      </c>
      <c r="B2" s="461"/>
      <c r="C2" s="461"/>
      <c r="D2" s="461"/>
      <c r="E2" s="461"/>
      <c r="F2" s="461"/>
      <c r="G2" s="461"/>
      <c r="H2" s="461"/>
      <c r="I2" s="461"/>
      <c r="J2" s="461"/>
      <c r="K2" s="461"/>
      <c r="L2" s="461"/>
      <c r="M2" s="461"/>
      <c r="N2" s="461"/>
    </row>
    <row r="3" spans="1:14" x14ac:dyDescent="0.35">
      <c r="A3" s="178"/>
      <c r="B3" s="105"/>
      <c r="C3" s="178"/>
      <c r="D3" s="105"/>
      <c r="E3" s="178"/>
      <c r="F3" s="178"/>
      <c r="G3" s="178"/>
      <c r="H3" s="178"/>
      <c r="I3" s="105"/>
      <c r="J3" s="178"/>
      <c r="K3" s="105"/>
      <c r="L3" s="105"/>
      <c r="M3" s="105"/>
      <c r="N3" s="105"/>
    </row>
    <row r="4" spans="1:14" ht="14.5" customHeight="1" x14ac:dyDescent="0.35">
      <c r="A4" s="449" t="s">
        <v>1</v>
      </c>
      <c r="B4" s="420" t="s">
        <v>511</v>
      </c>
      <c r="C4" s="420" t="s">
        <v>656</v>
      </c>
      <c r="D4" s="420" t="s">
        <v>194</v>
      </c>
      <c r="E4" s="420" t="s">
        <v>460</v>
      </c>
      <c r="F4" s="420" t="s">
        <v>461</v>
      </c>
      <c r="G4" s="420" t="s">
        <v>197</v>
      </c>
      <c r="H4" s="420" t="s">
        <v>198</v>
      </c>
      <c r="I4" s="420" t="s">
        <v>199</v>
      </c>
      <c r="J4" s="420"/>
      <c r="K4" s="420"/>
      <c r="L4" s="420" t="s">
        <v>200</v>
      </c>
      <c r="M4" s="450" t="s">
        <v>201</v>
      </c>
      <c r="N4" s="450" t="s">
        <v>202</v>
      </c>
    </row>
    <row r="5" spans="1:14" ht="30.65" customHeight="1" x14ac:dyDescent="0.35">
      <c r="A5" s="449"/>
      <c r="B5" s="420"/>
      <c r="C5" s="420"/>
      <c r="D5" s="420"/>
      <c r="E5" s="420"/>
      <c r="F5" s="420"/>
      <c r="G5" s="420"/>
      <c r="H5" s="420"/>
      <c r="I5" s="67" t="s">
        <v>203</v>
      </c>
      <c r="J5" s="67" t="s">
        <v>204</v>
      </c>
      <c r="K5" s="67" t="s">
        <v>205</v>
      </c>
      <c r="L5" s="420"/>
      <c r="M5" s="450"/>
      <c r="N5" s="450"/>
    </row>
    <row r="6" spans="1:14" ht="15" x14ac:dyDescent="0.35">
      <c r="A6" s="97" t="s">
        <v>9</v>
      </c>
      <c r="B6" s="97" t="s">
        <v>10</v>
      </c>
      <c r="C6" s="7" t="s">
        <v>11</v>
      </c>
      <c r="D6" s="7" t="s">
        <v>12</v>
      </c>
      <c r="E6" s="7" t="s">
        <v>13</v>
      </c>
      <c r="F6" s="7" t="s">
        <v>14</v>
      </c>
      <c r="G6" s="7" t="s">
        <v>15</v>
      </c>
      <c r="H6" s="7" t="s">
        <v>185</v>
      </c>
      <c r="I6" s="7" t="s">
        <v>206</v>
      </c>
      <c r="J6" s="7" t="s">
        <v>207</v>
      </c>
      <c r="K6" s="7" t="s">
        <v>208</v>
      </c>
      <c r="L6" s="7" t="s">
        <v>209</v>
      </c>
      <c r="M6" s="7" t="s">
        <v>210</v>
      </c>
      <c r="N6" s="7" t="s">
        <v>211</v>
      </c>
    </row>
    <row r="7" spans="1:14" ht="15" x14ac:dyDescent="0.35">
      <c r="A7" s="190" t="s">
        <v>847</v>
      </c>
      <c r="B7" s="191" t="s">
        <v>848</v>
      </c>
      <c r="C7" s="7"/>
      <c r="D7" s="7"/>
      <c r="E7" s="7"/>
      <c r="F7" s="7"/>
      <c r="G7" s="7"/>
      <c r="H7" s="7"/>
      <c r="I7" s="7"/>
      <c r="J7" s="7"/>
      <c r="K7" s="297">
        <f>AVERAGE(K8,K15)</f>
        <v>99.416666666666657</v>
      </c>
      <c r="L7" s="7"/>
      <c r="M7" s="7"/>
      <c r="N7" s="7"/>
    </row>
    <row r="8" spans="1:14" ht="15" x14ac:dyDescent="0.35">
      <c r="A8" s="265" t="s">
        <v>677</v>
      </c>
      <c r="B8" s="191" t="s">
        <v>638</v>
      </c>
      <c r="C8" s="7"/>
      <c r="D8" s="7"/>
      <c r="E8" s="203"/>
      <c r="F8" s="203"/>
      <c r="G8" s="203"/>
      <c r="H8" s="208"/>
      <c r="I8" s="205"/>
      <c r="J8" s="208"/>
      <c r="K8" s="206">
        <f>AVERAGE(J9:J14)</f>
        <v>98.833333333333329</v>
      </c>
      <c r="L8" s="7"/>
      <c r="M8" s="7"/>
      <c r="N8" s="7"/>
    </row>
    <row r="9" spans="1:14" ht="22.5" customHeight="1" x14ac:dyDescent="0.35">
      <c r="A9" s="201" t="s">
        <v>639</v>
      </c>
      <c r="B9" s="207" t="s">
        <v>503</v>
      </c>
      <c r="C9" s="53" t="s">
        <v>645</v>
      </c>
      <c r="D9" s="202" t="s">
        <v>637</v>
      </c>
      <c r="E9" s="349">
        <v>200</v>
      </c>
      <c r="F9" s="203">
        <f>85%*E9</f>
        <v>170</v>
      </c>
      <c r="G9" s="487">
        <v>194</v>
      </c>
      <c r="H9" s="208">
        <f>G9/E9*100</f>
        <v>97</v>
      </c>
      <c r="I9" s="202"/>
      <c r="J9" s="209">
        <f>IF(G9/F9*100&gt;=100,100,IF(G9/F9*100&lt;100,G9/F9*100))</f>
        <v>100</v>
      </c>
      <c r="K9" s="209"/>
      <c r="L9" s="205"/>
      <c r="M9" s="205"/>
      <c r="N9" s="205"/>
    </row>
    <row r="10" spans="1:14" ht="34.5" customHeight="1" x14ac:dyDescent="0.35">
      <c r="A10" s="201" t="s">
        <v>640</v>
      </c>
      <c r="B10" s="207" t="s">
        <v>504</v>
      </c>
      <c r="C10" s="57">
        <v>1</v>
      </c>
      <c r="D10" s="202" t="s">
        <v>636</v>
      </c>
      <c r="E10" s="349">
        <v>40</v>
      </c>
      <c r="F10" s="203">
        <f>C10*E10</f>
        <v>40</v>
      </c>
      <c r="G10" s="487">
        <v>40</v>
      </c>
      <c r="H10" s="208">
        <f t="shared" ref="H10:H14" si="0">G10/E10*100</f>
        <v>100</v>
      </c>
      <c r="I10" s="202"/>
      <c r="J10" s="209">
        <f>IF(G10/F10*100&gt;=100,100,IF(G10/F10*100&lt;100,G10/F10*100))</f>
        <v>100</v>
      </c>
      <c r="K10" s="209"/>
      <c r="L10" s="205"/>
      <c r="M10" s="205"/>
      <c r="N10" s="205"/>
    </row>
    <row r="11" spans="1:14" ht="23.5" customHeight="1" x14ac:dyDescent="0.35">
      <c r="A11" s="201" t="s">
        <v>641</v>
      </c>
      <c r="B11" s="207" t="s">
        <v>505</v>
      </c>
      <c r="C11" s="57">
        <v>1</v>
      </c>
      <c r="D11" s="202" t="s">
        <v>636</v>
      </c>
      <c r="E11" s="349">
        <v>36</v>
      </c>
      <c r="F11" s="203">
        <f>C11*E11</f>
        <v>36</v>
      </c>
      <c r="G11" s="487">
        <v>36</v>
      </c>
      <c r="H11" s="208">
        <f t="shared" si="0"/>
        <v>100</v>
      </c>
      <c r="I11" s="202"/>
      <c r="J11" s="209">
        <f t="shared" ref="J11:J14" si="1">IF(G11/F11*100&gt;=100,100,IF(G11/F11*100&lt;100,G11/F11*100))</f>
        <v>100</v>
      </c>
      <c r="K11" s="209"/>
      <c r="L11" s="205"/>
      <c r="M11" s="205"/>
      <c r="N11" s="205"/>
    </row>
    <row r="12" spans="1:14" ht="56.25" customHeight="1" x14ac:dyDescent="0.35">
      <c r="A12" s="201" t="s">
        <v>642</v>
      </c>
      <c r="B12" s="207" t="s">
        <v>506</v>
      </c>
      <c r="C12" s="57">
        <v>0.9</v>
      </c>
      <c r="D12" s="202" t="s">
        <v>512</v>
      </c>
      <c r="E12" s="349">
        <v>1</v>
      </c>
      <c r="F12" s="203">
        <f>C12*E12</f>
        <v>0.9</v>
      </c>
      <c r="G12" s="487">
        <v>1</v>
      </c>
      <c r="H12" s="208">
        <f t="shared" si="0"/>
        <v>100</v>
      </c>
      <c r="I12" s="202"/>
      <c r="J12" s="209">
        <f t="shared" si="1"/>
        <v>100</v>
      </c>
      <c r="K12" s="209"/>
      <c r="L12" s="205"/>
      <c r="M12" s="205"/>
      <c r="N12" s="205"/>
    </row>
    <row r="13" spans="1:14" ht="39" customHeight="1" x14ac:dyDescent="0.35">
      <c r="A13" s="201" t="s">
        <v>643</v>
      </c>
      <c r="B13" s="207" t="s">
        <v>507</v>
      </c>
      <c r="C13" s="57">
        <v>1</v>
      </c>
      <c r="D13" s="202" t="s">
        <v>512</v>
      </c>
      <c r="E13" s="350">
        <v>18</v>
      </c>
      <c r="F13" s="203">
        <f t="shared" ref="F13" si="2">C13*E13</f>
        <v>18</v>
      </c>
      <c r="G13" s="488">
        <v>18</v>
      </c>
      <c r="H13" s="208">
        <f t="shared" si="0"/>
        <v>100</v>
      </c>
      <c r="I13" s="202"/>
      <c r="J13" s="209">
        <f t="shared" si="1"/>
        <v>100</v>
      </c>
      <c r="K13" s="202"/>
      <c r="L13" s="205"/>
      <c r="M13" s="205"/>
      <c r="N13" s="205"/>
    </row>
    <row r="14" spans="1:14" ht="25.4" customHeight="1" x14ac:dyDescent="0.35">
      <c r="A14" s="201" t="s">
        <v>644</v>
      </c>
      <c r="B14" s="207" t="s">
        <v>508</v>
      </c>
      <c r="C14" s="53" t="s">
        <v>514</v>
      </c>
      <c r="D14" s="202" t="s">
        <v>512</v>
      </c>
      <c r="E14" s="203"/>
      <c r="F14" s="203"/>
      <c r="G14" s="203"/>
      <c r="H14" s="208" t="e">
        <f t="shared" si="0"/>
        <v>#DIV/0!</v>
      </c>
      <c r="I14" s="202"/>
      <c r="J14" s="209">
        <v>93</v>
      </c>
      <c r="K14" s="202"/>
      <c r="L14" s="205"/>
      <c r="M14" s="205"/>
      <c r="N14" s="205"/>
    </row>
    <row r="15" spans="1:14" ht="22.5" customHeight="1" x14ac:dyDescent="0.35">
      <c r="A15" s="266" t="s">
        <v>679</v>
      </c>
      <c r="B15" s="267" t="s">
        <v>646</v>
      </c>
      <c r="C15" s="21"/>
      <c r="D15" s="202"/>
      <c r="E15" s="203"/>
      <c r="F15" s="203"/>
      <c r="G15" s="203"/>
      <c r="H15" s="208"/>
      <c r="I15" s="202"/>
      <c r="J15" s="208"/>
      <c r="K15" s="206">
        <f>AVERAGE(J16:J19)</f>
        <v>100</v>
      </c>
      <c r="L15" s="202"/>
      <c r="M15" s="202"/>
      <c r="N15" s="202"/>
    </row>
    <row r="16" spans="1:14" ht="32.15" customHeight="1" x14ac:dyDescent="0.35">
      <c r="A16" s="210" t="s">
        <v>639</v>
      </c>
      <c r="B16" s="207" t="s">
        <v>647</v>
      </c>
      <c r="C16" s="57">
        <v>1</v>
      </c>
      <c r="D16" s="202" t="s">
        <v>636</v>
      </c>
      <c r="E16" s="486">
        <v>7</v>
      </c>
      <c r="F16" s="203">
        <f>C16*E16</f>
        <v>7</v>
      </c>
      <c r="G16" s="489">
        <v>7</v>
      </c>
      <c r="H16" s="208">
        <f>G16/E16*100</f>
        <v>100</v>
      </c>
      <c r="I16" s="202"/>
      <c r="J16" s="208">
        <f>IF(G16/F16*100&gt;=100,100,IF(G16/F16*100&lt;100,G16/F16*100))</f>
        <v>100</v>
      </c>
      <c r="K16" s="204"/>
      <c r="L16" s="202"/>
      <c r="M16" s="202"/>
      <c r="N16" s="202"/>
    </row>
    <row r="17" spans="1:14" ht="35.5" customHeight="1" x14ac:dyDescent="0.35">
      <c r="A17" s="210" t="s">
        <v>640</v>
      </c>
      <c r="B17" s="207" t="s">
        <v>648</v>
      </c>
      <c r="C17" s="212">
        <v>1</v>
      </c>
      <c r="D17" s="202" t="s">
        <v>636</v>
      </c>
      <c r="E17" s="486">
        <v>3</v>
      </c>
      <c r="F17" s="203">
        <f>C17*E17</f>
        <v>3</v>
      </c>
      <c r="G17" s="489">
        <v>3</v>
      </c>
      <c r="H17" s="208">
        <f t="shared" ref="H17:H19" si="3">G17/E17*100</f>
        <v>100</v>
      </c>
      <c r="I17" s="202"/>
      <c r="J17" s="208">
        <f>IF(G17/F17*100&gt;=100,100,IF(G17/F17*100&lt;100,G17/F17*100))</f>
        <v>100</v>
      </c>
      <c r="K17" s="204"/>
      <c r="L17" s="202"/>
      <c r="M17" s="202"/>
      <c r="N17" s="202"/>
    </row>
    <row r="18" spans="1:14" ht="68.150000000000006" customHeight="1" x14ac:dyDescent="0.35">
      <c r="A18" s="210" t="s">
        <v>641</v>
      </c>
      <c r="B18" s="211" t="s">
        <v>650</v>
      </c>
      <c r="C18" s="212">
        <v>1</v>
      </c>
      <c r="D18" s="202" t="s">
        <v>636</v>
      </c>
      <c r="E18" s="486">
        <v>15</v>
      </c>
      <c r="F18" s="203">
        <f>C18*E18</f>
        <v>15</v>
      </c>
      <c r="G18" s="489">
        <v>15</v>
      </c>
      <c r="H18" s="208">
        <f t="shared" si="3"/>
        <v>100</v>
      </c>
      <c r="I18" s="202"/>
      <c r="J18" s="208">
        <f t="shared" ref="J18:J19" si="4">IF(G18/F18*100&gt;=100,100,IF(G18/F18*100&lt;100,G18/F18*100))</f>
        <v>100</v>
      </c>
      <c r="K18" s="204"/>
      <c r="L18" s="202"/>
      <c r="M18" s="202"/>
      <c r="N18" s="202"/>
    </row>
    <row r="19" spans="1:14" ht="35.5" customHeight="1" x14ac:dyDescent="0.35">
      <c r="A19" s="210" t="s">
        <v>642</v>
      </c>
      <c r="B19" s="211" t="s">
        <v>649</v>
      </c>
      <c r="C19" s="57">
        <v>1</v>
      </c>
      <c r="D19" s="202" t="s">
        <v>653</v>
      </c>
      <c r="E19" s="486">
        <v>9</v>
      </c>
      <c r="F19" s="203">
        <f>C19*E19</f>
        <v>9</v>
      </c>
      <c r="G19" s="489">
        <v>9</v>
      </c>
      <c r="H19" s="208">
        <f t="shared" si="3"/>
        <v>100</v>
      </c>
      <c r="I19" s="202"/>
      <c r="J19" s="208">
        <f t="shared" si="4"/>
        <v>100</v>
      </c>
      <c r="K19" s="204"/>
      <c r="L19" s="202"/>
      <c r="M19" s="202"/>
      <c r="N19" s="202"/>
    </row>
    <row r="20" spans="1:14" ht="19" customHeight="1" x14ac:dyDescent="0.35">
      <c r="A20" s="266" t="s">
        <v>681</v>
      </c>
      <c r="B20" s="267" t="s">
        <v>652</v>
      </c>
      <c r="C20" s="21"/>
      <c r="D20" s="202"/>
      <c r="E20" s="203"/>
      <c r="F20" s="203"/>
      <c r="G20" s="203"/>
      <c r="H20" s="208"/>
      <c r="I20" s="202"/>
      <c r="J20" s="208"/>
      <c r="K20" s="206" t="e">
        <f>AVERAGE(J21)</f>
        <v>#DIV/0!</v>
      </c>
      <c r="L20" s="202"/>
      <c r="M20" s="202"/>
      <c r="N20" s="202"/>
    </row>
    <row r="21" spans="1:14" ht="26.5" customHeight="1" x14ac:dyDescent="0.35">
      <c r="A21" s="210" t="s">
        <v>639</v>
      </c>
      <c r="B21" s="20" t="s">
        <v>651</v>
      </c>
      <c r="C21" s="57">
        <v>1</v>
      </c>
      <c r="D21" s="202" t="s">
        <v>653</v>
      </c>
      <c r="E21" s="203"/>
      <c r="F21" s="203"/>
      <c r="G21" s="203"/>
      <c r="H21" s="208" t="e">
        <f>G21/E21*100</f>
        <v>#DIV/0!</v>
      </c>
      <c r="I21" s="202"/>
      <c r="J21" s="208" t="e">
        <f>IF(G21/F21*100&gt;=100,100,IF(G21/F21*100&lt;100,G21/F21*100))</f>
        <v>#DIV/0!</v>
      </c>
      <c r="K21" s="204"/>
      <c r="L21" s="205"/>
      <c r="M21" s="205"/>
      <c r="N21" s="205"/>
    </row>
    <row r="22" spans="1:14" x14ac:dyDescent="0.35">
      <c r="A22" s="178"/>
      <c r="B22" s="105"/>
      <c r="C22" s="178"/>
      <c r="D22" s="200"/>
      <c r="E22" s="213"/>
      <c r="F22" s="213"/>
      <c r="G22" s="213"/>
      <c r="H22" s="213"/>
      <c r="I22" s="200"/>
      <c r="J22" s="213"/>
      <c r="K22" s="200"/>
    </row>
    <row r="23" spans="1:14" x14ac:dyDescent="0.35">
      <c r="A23" s="91"/>
      <c r="B23" s="462" t="s">
        <v>513</v>
      </c>
      <c r="C23" s="462"/>
    </row>
    <row r="24" spans="1:14" x14ac:dyDescent="0.35">
      <c r="B24" s="114" t="s">
        <v>305</v>
      </c>
      <c r="C24" s="113" t="s">
        <v>515</v>
      </c>
    </row>
    <row r="25" spans="1:14" x14ac:dyDescent="0.35">
      <c r="B25" s="114" t="s">
        <v>307</v>
      </c>
      <c r="C25" s="115" t="s">
        <v>308</v>
      </c>
    </row>
    <row r="26" spans="1:14" x14ac:dyDescent="0.35">
      <c r="B26" s="114" t="s">
        <v>309</v>
      </c>
      <c r="C26" s="113" t="s">
        <v>516</v>
      </c>
    </row>
    <row r="28" spans="1:14" ht="30.5" x14ac:dyDescent="0.35">
      <c r="A28" s="115" t="s">
        <v>311</v>
      </c>
      <c r="B28" s="72" t="s">
        <v>312</v>
      </c>
      <c r="C28" s="179"/>
      <c r="D28" s="121"/>
      <c r="E28" s="122"/>
      <c r="F28" s="122"/>
      <c r="G28" s="123"/>
      <c r="H28" s="123"/>
      <c r="I28" s="123"/>
      <c r="J28" s="123"/>
      <c r="K28" s="123"/>
      <c r="L28" s="123"/>
      <c r="M28" s="123"/>
    </row>
    <row r="29" spans="1:14" x14ac:dyDescent="0.35">
      <c r="A29" s="124">
        <v>2</v>
      </c>
      <c r="B29" s="76" t="s">
        <v>313</v>
      </c>
      <c r="C29" s="85"/>
      <c r="D29" s="76"/>
      <c r="E29" s="85"/>
      <c r="F29" s="85"/>
      <c r="G29" s="85"/>
      <c r="H29" s="85"/>
      <c r="I29" s="76"/>
      <c r="J29" s="85"/>
      <c r="K29" s="76"/>
      <c r="L29" s="76"/>
      <c r="M29" s="76"/>
    </row>
    <row r="30" spans="1:14" x14ac:dyDescent="0.35">
      <c r="A30" s="124"/>
      <c r="B30" s="76" t="s">
        <v>314</v>
      </c>
      <c r="C30" s="85"/>
      <c r="D30" s="76"/>
      <c r="E30" s="85"/>
      <c r="F30" s="85"/>
      <c r="G30" s="85"/>
      <c r="H30" s="85"/>
      <c r="I30" s="76"/>
      <c r="J30" s="85"/>
      <c r="K30" s="76"/>
      <c r="L30" s="85"/>
      <c r="M30" s="85"/>
    </row>
    <row r="31" spans="1:14" x14ac:dyDescent="0.35">
      <c r="A31" s="124"/>
      <c r="B31" s="76" t="s">
        <v>315</v>
      </c>
      <c r="C31" s="85"/>
      <c r="D31" s="76"/>
      <c r="E31" s="85"/>
      <c r="F31" s="85"/>
      <c r="G31" s="85"/>
      <c r="H31" s="85"/>
      <c r="I31" s="76"/>
      <c r="J31" s="85"/>
      <c r="K31" s="76"/>
      <c r="L31" s="85"/>
      <c r="M31" s="85"/>
    </row>
    <row r="32" spans="1:14" ht="34.4" customHeight="1" x14ac:dyDescent="0.35">
      <c r="A32" s="124"/>
      <c r="B32" s="445" t="s">
        <v>316</v>
      </c>
      <c r="C32" s="446"/>
      <c r="D32" s="446"/>
      <c r="E32" s="446"/>
      <c r="F32" s="446"/>
      <c r="G32" s="446"/>
      <c r="H32" s="446"/>
      <c r="I32" s="446"/>
      <c r="J32" s="446"/>
      <c r="K32" s="446"/>
      <c r="L32" s="446"/>
      <c r="M32" s="446"/>
      <c r="N32" s="446"/>
    </row>
    <row r="33" spans="1:13" x14ac:dyDescent="0.35">
      <c r="A33" s="124">
        <v>3</v>
      </c>
      <c r="B33" s="76" t="s">
        <v>819</v>
      </c>
      <c r="C33" s="85"/>
      <c r="D33" s="76"/>
      <c r="E33" s="85"/>
      <c r="F33" s="85"/>
      <c r="G33" s="85"/>
      <c r="H33" s="85"/>
      <c r="I33" s="76"/>
      <c r="J33" s="85"/>
      <c r="K33" s="76"/>
      <c r="L33" s="85"/>
      <c r="M33" s="85"/>
    </row>
    <row r="34" spans="1:13" x14ac:dyDescent="0.35">
      <c r="A34" s="124">
        <v>4</v>
      </c>
      <c r="B34" s="78" t="s">
        <v>317</v>
      </c>
      <c r="C34" s="85"/>
      <c r="D34" s="78"/>
      <c r="E34" s="85"/>
      <c r="F34" s="85"/>
      <c r="G34" s="85"/>
      <c r="H34" s="85"/>
      <c r="I34" s="85"/>
      <c r="J34" s="85"/>
      <c r="K34" s="85"/>
      <c r="L34" s="85"/>
      <c r="M34" s="85"/>
    </row>
    <row r="35" spans="1:13" x14ac:dyDescent="0.35">
      <c r="A35" s="124">
        <v>5</v>
      </c>
      <c r="B35" s="78" t="s">
        <v>523</v>
      </c>
      <c r="C35" s="85"/>
      <c r="D35" s="78"/>
      <c r="E35" s="85"/>
      <c r="F35" s="85"/>
      <c r="G35" s="85"/>
      <c r="H35" s="85"/>
      <c r="I35" s="85"/>
      <c r="J35" s="85"/>
      <c r="K35" s="85"/>
      <c r="L35" s="85"/>
      <c r="M35" s="85"/>
    </row>
    <row r="36" spans="1:13" x14ac:dyDescent="0.35">
      <c r="A36" s="124">
        <v>6</v>
      </c>
      <c r="B36" s="76" t="s">
        <v>524</v>
      </c>
      <c r="C36" s="85"/>
      <c r="D36" s="76"/>
      <c r="E36" s="85"/>
      <c r="F36" s="85"/>
      <c r="G36" s="85"/>
      <c r="H36" s="85"/>
      <c r="I36" s="76"/>
      <c r="J36" s="85"/>
      <c r="K36" s="76"/>
      <c r="L36" s="120"/>
      <c r="M36" s="120"/>
    </row>
    <row r="37" spans="1:13" x14ac:dyDescent="0.35">
      <c r="A37" s="124">
        <v>7</v>
      </c>
      <c r="B37" s="76" t="s">
        <v>319</v>
      </c>
      <c r="C37" s="179"/>
      <c r="D37" s="120"/>
      <c r="E37" s="179"/>
      <c r="F37" s="179"/>
      <c r="G37" s="179"/>
      <c r="H37" s="179"/>
      <c r="I37" s="120"/>
      <c r="J37" s="179"/>
      <c r="K37" s="120"/>
      <c r="L37" s="120"/>
      <c r="M37" s="120"/>
    </row>
    <row r="38" spans="1:13" x14ac:dyDescent="0.35">
      <c r="A38" s="124">
        <v>8</v>
      </c>
      <c r="B38" s="76" t="s">
        <v>525</v>
      </c>
      <c r="C38" s="179"/>
      <c r="D38" s="120"/>
      <c r="E38" s="179"/>
      <c r="F38" s="179"/>
      <c r="G38" s="179"/>
      <c r="H38" s="179"/>
      <c r="I38" s="120"/>
      <c r="J38" s="179"/>
      <c r="K38" s="120"/>
      <c r="L38" s="120"/>
      <c r="M38" s="120"/>
    </row>
    <row r="39" spans="1:13" x14ac:dyDescent="0.35">
      <c r="A39" s="125" t="s">
        <v>321</v>
      </c>
      <c r="B39" s="76" t="s">
        <v>518</v>
      </c>
      <c r="C39" s="179"/>
      <c r="D39" s="120"/>
      <c r="E39" s="179"/>
      <c r="F39" s="179"/>
      <c r="G39" s="179"/>
      <c r="H39" s="179"/>
      <c r="I39" s="120"/>
      <c r="J39" s="179"/>
      <c r="K39" s="120"/>
      <c r="L39" s="120"/>
      <c r="M39" s="120"/>
    </row>
    <row r="40" spans="1:13" x14ac:dyDescent="0.35">
      <c r="A40" s="124">
        <v>9</v>
      </c>
      <c r="B40" s="76" t="s">
        <v>519</v>
      </c>
      <c r="C40" s="179"/>
      <c r="D40" s="120"/>
      <c r="E40" s="179"/>
      <c r="F40" s="179"/>
      <c r="G40" s="179"/>
      <c r="H40" s="179"/>
      <c r="I40" s="120"/>
      <c r="J40" s="179"/>
      <c r="K40" s="120"/>
      <c r="L40" s="120"/>
      <c r="M40" s="120"/>
    </row>
    <row r="41" spans="1:13" x14ac:dyDescent="0.35">
      <c r="A41" s="124">
        <v>10</v>
      </c>
      <c r="B41" s="76" t="s">
        <v>520</v>
      </c>
      <c r="C41" s="179"/>
      <c r="D41" s="120"/>
      <c r="E41" s="179"/>
      <c r="F41" s="179"/>
      <c r="G41" s="179"/>
      <c r="H41" s="179"/>
      <c r="I41" s="120"/>
      <c r="J41" s="179"/>
      <c r="K41" s="120"/>
      <c r="L41" s="120"/>
      <c r="M41" s="120"/>
    </row>
    <row r="42" spans="1:13" x14ac:dyDescent="0.35">
      <c r="A42" s="124"/>
      <c r="B42" s="76" t="s">
        <v>325</v>
      </c>
      <c r="C42" s="179"/>
      <c r="D42" s="120"/>
      <c r="E42" s="179"/>
      <c r="F42" s="179"/>
      <c r="G42" s="179"/>
      <c r="H42" s="179"/>
      <c r="I42" s="120"/>
      <c r="J42" s="179"/>
      <c r="K42" s="120"/>
      <c r="L42" s="120"/>
      <c r="M42" s="120"/>
    </row>
    <row r="43" spans="1:13" x14ac:dyDescent="0.35">
      <c r="A43" s="124">
        <v>11</v>
      </c>
      <c r="B43" s="76" t="s">
        <v>521</v>
      </c>
      <c r="C43" s="179"/>
      <c r="D43" s="120"/>
      <c r="E43" s="179"/>
      <c r="F43" s="179"/>
      <c r="G43" s="179"/>
      <c r="H43" s="179"/>
      <c r="I43" s="120"/>
      <c r="J43" s="179"/>
      <c r="K43" s="120"/>
      <c r="L43" s="120"/>
      <c r="M43" s="120"/>
    </row>
    <row r="44" spans="1:13" x14ac:dyDescent="0.35">
      <c r="A44" s="124">
        <v>12</v>
      </c>
      <c r="B44" s="120" t="s">
        <v>842</v>
      </c>
      <c r="C44" s="179"/>
      <c r="D44" s="120"/>
      <c r="E44" s="179"/>
      <c r="F44" s="179"/>
      <c r="G44" s="179"/>
      <c r="H44" s="179"/>
      <c r="I44" s="120"/>
      <c r="J44" s="179"/>
      <c r="K44" s="120"/>
      <c r="L44" s="120"/>
      <c r="M44" s="120"/>
    </row>
    <row r="45" spans="1:13" x14ac:dyDescent="0.35">
      <c r="A45" s="124">
        <v>13</v>
      </c>
      <c r="B45" s="80" t="s">
        <v>327</v>
      </c>
      <c r="C45" s="124"/>
      <c r="D45" s="117"/>
      <c r="E45" s="124"/>
      <c r="F45" s="180"/>
      <c r="G45" s="179"/>
      <c r="H45" s="179"/>
      <c r="I45" s="120"/>
      <c r="J45" s="179"/>
      <c r="K45" s="120"/>
      <c r="L45" s="120"/>
      <c r="M45" s="127"/>
    </row>
    <row r="46" spans="1:13" x14ac:dyDescent="0.35">
      <c r="A46" s="124">
        <v>14</v>
      </c>
      <c r="B46" s="80" t="s">
        <v>522</v>
      </c>
      <c r="C46" s="124"/>
      <c r="D46" s="117"/>
      <c r="E46" s="124"/>
      <c r="F46" s="180"/>
      <c r="G46" s="179"/>
      <c r="H46" s="179"/>
      <c r="I46" s="120"/>
      <c r="J46" s="179"/>
      <c r="K46" s="120"/>
      <c r="L46" s="120"/>
      <c r="M46" s="127"/>
    </row>
  </sheetData>
  <mergeCells count="16">
    <mergeCell ref="A1:N1"/>
    <mergeCell ref="A2:N2"/>
    <mergeCell ref="I4:K4"/>
    <mergeCell ref="L4:L5"/>
    <mergeCell ref="M4:M5"/>
    <mergeCell ref="N4:N5"/>
    <mergeCell ref="B23:C23"/>
    <mergeCell ref="B32:N32"/>
    <mergeCell ref="A4:A5"/>
    <mergeCell ref="B4:B5"/>
    <mergeCell ref="C4:C5"/>
    <mergeCell ref="D4:D5"/>
    <mergeCell ref="E4:E5"/>
    <mergeCell ref="F4:F5"/>
    <mergeCell ref="G4:G5"/>
    <mergeCell ref="H4:H5"/>
  </mergeCells>
  <pageMargins left="0.7" right="0.7" top="0.75" bottom="0.75" header="0.3" footer="0.3"/>
  <pageSetup paperSize="14" scale="64" fitToHeight="0"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D76"/>
  <sheetViews>
    <sheetView view="pageBreakPreview" zoomScale="60" zoomScaleNormal="58" workbookViewId="0">
      <selection activeCell="C76" sqref="C76"/>
    </sheetView>
  </sheetViews>
  <sheetFormatPr defaultRowHeight="14.5" x14ac:dyDescent="0.35"/>
  <cols>
    <col min="1" max="1" width="14.26953125" customWidth="1"/>
    <col min="2" max="2" width="110" customWidth="1"/>
    <col min="3" max="3" width="16.81640625" style="351" customWidth="1"/>
    <col min="4" max="4" width="15.81640625" customWidth="1"/>
  </cols>
  <sheetData>
    <row r="2" spans="1:4" ht="15.65" customHeight="1" x14ac:dyDescent="0.35">
      <c r="A2" s="380" t="s">
        <v>911</v>
      </c>
      <c r="B2" s="380"/>
      <c r="C2" s="380"/>
      <c r="D2" s="380"/>
    </row>
    <row r="3" spans="1:4" ht="15.5" x14ac:dyDescent="0.35">
      <c r="A3" s="192"/>
      <c r="B3" s="192"/>
    </row>
    <row r="4" spans="1:4" x14ac:dyDescent="0.35">
      <c r="A4" s="475" t="s">
        <v>1</v>
      </c>
      <c r="B4" s="475" t="s">
        <v>2</v>
      </c>
      <c r="C4" s="464" t="s">
        <v>184</v>
      </c>
      <c r="D4" s="468" t="s">
        <v>881</v>
      </c>
    </row>
    <row r="5" spans="1:4" x14ac:dyDescent="0.35">
      <c r="A5" s="475"/>
      <c r="B5" s="475"/>
      <c r="C5" s="464"/>
      <c r="D5" s="468"/>
    </row>
    <row r="6" spans="1:4" ht="14.5" customHeight="1" x14ac:dyDescent="0.35">
      <c r="A6" s="469" t="s">
        <v>634</v>
      </c>
      <c r="B6" s="470"/>
      <c r="C6" s="352">
        <f>AVERAGE(C7,C14)</f>
        <v>98.950211608880963</v>
      </c>
      <c r="D6" s="298"/>
    </row>
    <row r="7" spans="1:4" ht="14.5" customHeight="1" x14ac:dyDescent="0.35">
      <c r="A7" s="471" t="s">
        <v>633</v>
      </c>
      <c r="B7" s="472"/>
      <c r="C7" s="353">
        <f>C8</f>
        <v>100</v>
      </c>
      <c r="D7" s="315" t="str">
        <f>D8</f>
        <v>Baik</v>
      </c>
    </row>
    <row r="8" spans="1:4" ht="15.5" x14ac:dyDescent="0.35">
      <c r="A8" s="299">
        <v>1</v>
      </c>
      <c r="B8" s="299" t="s">
        <v>551</v>
      </c>
      <c r="C8" s="354">
        <f>AVERAGE(C9:C13)*10</f>
        <v>100</v>
      </c>
      <c r="D8" s="311" t="str">
        <f>IF(C8&gt;=91,"Baik",IF(C8&gt;=81,"Cukup",IF(C8&lt;=80,"Rendah")))</f>
        <v>Baik</v>
      </c>
    </row>
    <row r="9" spans="1:4" ht="15.5" x14ac:dyDescent="0.35">
      <c r="A9" s="193" t="s">
        <v>544</v>
      </c>
      <c r="B9" s="194" t="s">
        <v>545</v>
      </c>
      <c r="C9" s="355">
        <f>'Instrumen Admen 24'!H25</f>
        <v>10</v>
      </c>
      <c r="D9" s="24"/>
    </row>
    <row r="10" spans="1:4" ht="15" customHeight="1" x14ac:dyDescent="0.35">
      <c r="A10" s="195" t="s">
        <v>543</v>
      </c>
      <c r="B10" s="195" t="s">
        <v>546</v>
      </c>
      <c r="C10" s="356">
        <f>'Instrumen Admen 24'!H32</f>
        <v>10</v>
      </c>
      <c r="D10" s="24"/>
    </row>
    <row r="11" spans="1:4" ht="15" customHeight="1" x14ac:dyDescent="0.35">
      <c r="A11" s="195" t="s">
        <v>547</v>
      </c>
      <c r="B11" s="195" t="s">
        <v>548</v>
      </c>
      <c r="C11" s="356">
        <f>'Instrumen Admen 24'!H36</f>
        <v>10</v>
      </c>
      <c r="D11" s="24"/>
    </row>
    <row r="12" spans="1:4" ht="15" customHeight="1" x14ac:dyDescent="0.35">
      <c r="A12" s="195" t="s">
        <v>549</v>
      </c>
      <c r="B12" s="195" t="s">
        <v>550</v>
      </c>
      <c r="C12" s="356">
        <f>'Instrumen Admen 24'!H41</f>
        <v>10</v>
      </c>
      <c r="D12" s="24"/>
    </row>
    <row r="13" spans="1:4" ht="15" customHeight="1" x14ac:dyDescent="0.35">
      <c r="A13" s="196" t="s">
        <v>554</v>
      </c>
      <c r="B13" s="196" t="s">
        <v>555</v>
      </c>
      <c r="C13" s="356">
        <f>'Instrumen Admen 24'!$H$47</f>
        <v>10</v>
      </c>
      <c r="D13" s="24"/>
    </row>
    <row r="14" spans="1:4" ht="15" customHeight="1" x14ac:dyDescent="0.35">
      <c r="A14" s="473" t="s">
        <v>635</v>
      </c>
      <c r="B14" s="474"/>
      <c r="C14" s="352">
        <f>(C15+C55+C63+C73)/4</f>
        <v>97.900423217761926</v>
      </c>
      <c r="D14" s="311" t="str">
        <f>IF(C14&gt;=91,"Baik",IF(C14&gt;=81,"Cukup",IF(C14&lt;=80,"Rendah")))</f>
        <v>Baik</v>
      </c>
    </row>
    <row r="15" spans="1:4" ht="15.5" x14ac:dyDescent="0.35">
      <c r="A15" s="300" t="s">
        <v>526</v>
      </c>
      <c r="B15" s="301"/>
      <c r="C15" s="357">
        <f>'Instrumen UKM Esensial &amp; Perkes'!L8</f>
        <v>94.834569395935702</v>
      </c>
      <c r="D15" s="311" t="str">
        <f>IF(C15&gt;=91,"Baik",IF(C15&gt;=81,"Cukup",IF(C15&lt;=80,"Rendah")))</f>
        <v>Baik</v>
      </c>
    </row>
    <row r="16" spans="1:4" ht="15.5" x14ac:dyDescent="0.35">
      <c r="A16" s="302" t="s">
        <v>528</v>
      </c>
      <c r="B16" s="303"/>
      <c r="C16" s="358">
        <f>'Instrumen UKM Esensial &amp; Perkes'!L9</f>
        <v>95.404977483097468</v>
      </c>
      <c r="D16" s="311" t="str">
        <f>IF(C16&gt;=91,"Baik",IF(C16&gt;=81,"Cukup",IF(C16&lt;=80,"Rendah")))</f>
        <v>Baik</v>
      </c>
    </row>
    <row r="17" spans="1:4" ht="15.5" x14ac:dyDescent="0.35">
      <c r="A17" s="62" t="s">
        <v>613</v>
      </c>
      <c r="B17" s="62" t="s">
        <v>614</v>
      </c>
      <c r="C17" s="356">
        <f>'Instrumen UKM Esensial &amp; Perkes'!K10</f>
        <v>97.42986489858481</v>
      </c>
      <c r="D17" s="24"/>
    </row>
    <row r="18" spans="1:4" ht="15.5" x14ac:dyDescent="0.35">
      <c r="A18" s="88" t="s">
        <v>615</v>
      </c>
      <c r="B18" s="88" t="s">
        <v>616</v>
      </c>
      <c r="C18" s="356">
        <f>'Instrumen UKM Esensial &amp; Perkes'!K14</f>
        <v>100</v>
      </c>
      <c r="D18" s="24"/>
    </row>
    <row r="19" spans="1:4" ht="15.5" x14ac:dyDescent="0.35">
      <c r="A19" s="88" t="s">
        <v>617</v>
      </c>
      <c r="B19" s="88" t="s">
        <v>618</v>
      </c>
      <c r="C19" s="356">
        <f>'Instrumen UKM Esensial &amp; Perkes'!K18</f>
        <v>100</v>
      </c>
      <c r="D19" s="24"/>
    </row>
    <row r="20" spans="1:4" ht="15.5" x14ac:dyDescent="0.35">
      <c r="A20" s="44" t="s">
        <v>619</v>
      </c>
      <c r="B20" s="44" t="s">
        <v>620</v>
      </c>
      <c r="C20" s="356">
        <f>'Instrumen UKM Esensial &amp; Perkes'!K22</f>
        <v>75</v>
      </c>
      <c r="D20" s="24"/>
    </row>
    <row r="21" spans="1:4" ht="15.5" x14ac:dyDescent="0.35">
      <c r="A21" s="88" t="s">
        <v>621</v>
      </c>
      <c r="B21" s="88" t="s">
        <v>622</v>
      </c>
      <c r="C21" s="356">
        <f>'Instrumen UKM Esensial &amp; Perkes'!K27</f>
        <v>100</v>
      </c>
      <c r="D21" s="24"/>
    </row>
    <row r="22" spans="1:4" ht="17.5" customHeight="1" x14ac:dyDescent="0.35">
      <c r="A22" s="88" t="s">
        <v>623</v>
      </c>
      <c r="B22" s="88" t="s">
        <v>624</v>
      </c>
      <c r="C22" s="356">
        <f>'Instrumen UKM Esensial &amp; Perkes'!K31</f>
        <v>100</v>
      </c>
      <c r="D22" s="24"/>
    </row>
    <row r="23" spans="1:4" ht="15.5" x14ac:dyDescent="0.35">
      <c r="A23" s="304" t="s">
        <v>529</v>
      </c>
      <c r="B23" s="305"/>
      <c r="C23" s="358">
        <f>'Instrumen UKM Esensial &amp; Perkes'!L34</f>
        <v>97.444850903447517</v>
      </c>
      <c r="D23" s="311" t="str">
        <f>IF(C23&gt;=91,"Baik",IF(C23&gt;=81,"Cukup",IF(C23&lt;=80,"Rendah")))</f>
        <v>Baik</v>
      </c>
    </row>
    <row r="24" spans="1:4" ht="15.5" x14ac:dyDescent="0.35">
      <c r="A24" s="88" t="s">
        <v>625</v>
      </c>
      <c r="B24" s="88" t="s">
        <v>626</v>
      </c>
      <c r="C24" s="356">
        <f>'Instrumen UKM Esensial &amp; Perkes'!K35</f>
        <v>100</v>
      </c>
      <c r="D24" s="24"/>
    </row>
    <row r="25" spans="1:4" ht="15.65" customHeight="1" x14ac:dyDescent="0.35">
      <c r="A25" s="54" t="s">
        <v>627</v>
      </c>
      <c r="B25" s="54" t="s">
        <v>657</v>
      </c>
      <c r="C25" s="356">
        <f>'Instrumen UKM Esensial &amp; Perkes'!K40</f>
        <v>94.354838709677423</v>
      </c>
      <c r="D25" s="24"/>
    </row>
    <row r="26" spans="1:4" ht="15.65" customHeight="1" x14ac:dyDescent="0.35">
      <c r="A26" s="54" t="s">
        <v>628</v>
      </c>
      <c r="B26" s="54" t="s">
        <v>658</v>
      </c>
      <c r="C26" s="356">
        <f>'Instrumen UKM Esensial &amp; Perkes'!K43</f>
        <v>100</v>
      </c>
      <c r="D26" s="24"/>
    </row>
    <row r="27" spans="1:4" ht="15.5" x14ac:dyDescent="0.35">
      <c r="A27" s="88" t="s">
        <v>629</v>
      </c>
      <c r="B27" s="88" t="s">
        <v>630</v>
      </c>
      <c r="C27" s="356">
        <f>'Instrumen UKM Esensial &amp; Perkes'!K46</f>
        <v>92.869415807560131</v>
      </c>
      <c r="D27" s="24"/>
    </row>
    <row r="28" spans="1:4" ht="18" customHeight="1" x14ac:dyDescent="0.35">
      <c r="A28" s="54" t="s">
        <v>631</v>
      </c>
      <c r="B28" s="54" t="s">
        <v>632</v>
      </c>
      <c r="C28" s="356">
        <f>'Instrumen UKM Esensial &amp; Perkes'!K50</f>
        <v>100</v>
      </c>
      <c r="D28" s="24"/>
    </row>
    <row r="29" spans="1:4" ht="19.399999999999999" customHeight="1" x14ac:dyDescent="0.35">
      <c r="A29" s="306" t="s">
        <v>826</v>
      </c>
      <c r="B29" s="307"/>
      <c r="C29" s="358">
        <f>'Instrumen UKM Esensial &amp; Perkes'!L54</f>
        <v>84.016846253491863</v>
      </c>
      <c r="D29" s="311" t="str">
        <f>IF(C29&gt;=91,"Baik",IF(C29&gt;=81,"Cukup",IF(C29&lt;=80,"Rendah")))</f>
        <v>Cukup</v>
      </c>
    </row>
    <row r="30" spans="1:4" ht="19.399999999999999" customHeight="1" x14ac:dyDescent="0.35">
      <c r="A30" s="90" t="s">
        <v>610</v>
      </c>
      <c r="B30" s="90" t="s">
        <v>611</v>
      </c>
      <c r="C30" s="356">
        <f>'Instrumen UKM Esensial &amp; Perkes'!K55</f>
        <v>77.10526315789474</v>
      </c>
      <c r="D30" s="24"/>
    </row>
    <row r="31" spans="1:4" ht="15.5" x14ac:dyDescent="0.35">
      <c r="A31" s="90" t="s">
        <v>608</v>
      </c>
      <c r="B31" s="90" t="s">
        <v>609</v>
      </c>
      <c r="C31" s="356">
        <f>'Instrumen UKM Esensial &amp; Perkes'!K61</f>
        <v>71.548314696026125</v>
      </c>
      <c r="D31" s="24"/>
    </row>
    <row r="32" spans="1:4" ht="15.5" x14ac:dyDescent="0.35">
      <c r="A32" s="90" t="s">
        <v>606</v>
      </c>
      <c r="B32" s="90" t="s">
        <v>607</v>
      </c>
      <c r="C32" s="356">
        <f>'Instrumen UKM Esensial &amp; Perkes'!K66</f>
        <v>73.707383321326347</v>
      </c>
      <c r="D32" s="24"/>
    </row>
    <row r="33" spans="1:4" ht="15.5" x14ac:dyDescent="0.35">
      <c r="A33" s="90" t="s">
        <v>604</v>
      </c>
      <c r="B33" s="90" t="s">
        <v>605</v>
      </c>
      <c r="C33" s="356">
        <f>'Instrumen UKM Esensial &amp; Perkes'!K69</f>
        <v>100</v>
      </c>
      <c r="D33" s="24"/>
    </row>
    <row r="34" spans="1:4" ht="15" customHeight="1" x14ac:dyDescent="0.35">
      <c r="A34" s="54" t="s">
        <v>602</v>
      </c>
      <c r="B34" s="54" t="s">
        <v>603</v>
      </c>
      <c r="C34" s="356">
        <f>'Instrumen UKM Esensial &amp; Perkes'!K75</f>
        <v>96.025830631418273</v>
      </c>
      <c r="D34" s="24"/>
    </row>
    <row r="35" spans="1:4" ht="15.65" customHeight="1" x14ac:dyDescent="0.35">
      <c r="A35" s="197" t="s">
        <v>600</v>
      </c>
      <c r="B35" s="197" t="s">
        <v>601</v>
      </c>
      <c r="C35" s="356">
        <f>'Instrumen UKM Esensial &amp; Perkes'!K78</f>
        <v>85.714285714285708</v>
      </c>
      <c r="D35" s="24"/>
    </row>
    <row r="36" spans="1:4" ht="15.5" x14ac:dyDescent="0.35">
      <c r="A36" s="304" t="s">
        <v>530</v>
      </c>
      <c r="B36" s="305"/>
      <c r="C36" s="358">
        <f>'Instrumen UKM Esensial &amp; Perkes'!L86</f>
        <v>90.480779770861361</v>
      </c>
      <c r="D36" s="311" t="str">
        <f>IF(C36&gt;=91,"Baik",IF(C36&gt;=81,"Cukup",IF(C36&lt;=80,"Rendah")))</f>
        <v>Cukup</v>
      </c>
    </row>
    <row r="37" spans="1:4" ht="15.5" x14ac:dyDescent="0.35">
      <c r="A37" s="88" t="s">
        <v>594</v>
      </c>
      <c r="B37" s="88" t="s">
        <v>595</v>
      </c>
      <c r="C37" s="356">
        <f>'Instrumen UKM Esensial &amp; Perkes'!K87</f>
        <v>89.133606597374708</v>
      </c>
      <c r="D37" s="24"/>
    </row>
    <row r="38" spans="1:4" ht="15.5" x14ac:dyDescent="0.35">
      <c r="A38" s="88" t="s">
        <v>596</v>
      </c>
      <c r="B38" s="88" t="s">
        <v>597</v>
      </c>
      <c r="C38" s="356">
        <f>'Instrumen UKM Esensial &amp; Perkes'!K91</f>
        <v>98.148148148148152</v>
      </c>
      <c r="D38" s="24"/>
    </row>
    <row r="39" spans="1:4" ht="15.5" x14ac:dyDescent="0.35">
      <c r="A39" s="88" t="s">
        <v>598</v>
      </c>
      <c r="B39" s="88" t="s">
        <v>599</v>
      </c>
      <c r="C39" s="356">
        <f>'Instrumen UKM Esensial &amp; Perkes'!K96</f>
        <v>84.160584567061207</v>
      </c>
      <c r="D39" s="24"/>
    </row>
    <row r="40" spans="1:4" ht="18.649999999999999" customHeight="1" x14ac:dyDescent="0.35">
      <c r="A40" s="467" t="s">
        <v>612</v>
      </c>
      <c r="B40" s="467"/>
      <c r="C40" s="358">
        <f>'Instrumen UKM Esensial &amp; Perkes'!L102</f>
        <v>96.494531360651749</v>
      </c>
      <c r="D40" s="311" t="str">
        <f>IF(C40&gt;=91,"Baik",IF(C40&gt;=81,"Cukup",IF(C40&lt;=80,"Rendah")))</f>
        <v>Baik</v>
      </c>
    </row>
    <row r="41" spans="1:4" ht="15.5" x14ac:dyDescent="0.35">
      <c r="A41" s="88" t="s">
        <v>576</v>
      </c>
      <c r="B41" s="88" t="s">
        <v>577</v>
      </c>
      <c r="C41" s="356">
        <f>'Instrumen UKM Esensial &amp; Perkes'!K103</f>
        <v>100</v>
      </c>
      <c r="D41" s="24"/>
    </row>
    <row r="42" spans="1:4" ht="15.5" x14ac:dyDescent="0.35">
      <c r="A42" s="88" t="s">
        <v>578</v>
      </c>
      <c r="B42" s="88" t="s">
        <v>659</v>
      </c>
      <c r="C42" s="356">
        <f>'Instrumen UKM Esensial &amp; Perkes'!K107</f>
        <v>86.268939393939391</v>
      </c>
      <c r="D42" s="24"/>
    </row>
    <row r="43" spans="1:4" ht="15.5" x14ac:dyDescent="0.35">
      <c r="A43" s="88" t="s">
        <v>579</v>
      </c>
      <c r="B43" s="88" t="s">
        <v>660</v>
      </c>
      <c r="C43" s="356">
        <f>'Instrumen UKM Esensial &amp; Perkes'!K110</f>
        <v>100</v>
      </c>
      <c r="D43" s="24"/>
    </row>
    <row r="44" spans="1:4" ht="15.5" x14ac:dyDescent="0.35">
      <c r="A44" s="88" t="s">
        <v>661</v>
      </c>
      <c r="B44" s="88" t="s">
        <v>662</v>
      </c>
      <c r="C44" s="356">
        <f>'Instrumen UKM Esensial &amp; Perkes'!K113</f>
        <v>100</v>
      </c>
      <c r="D44" s="24"/>
    </row>
    <row r="45" spans="1:4" ht="15.5" x14ac:dyDescent="0.35">
      <c r="A45" s="88" t="s">
        <v>663</v>
      </c>
      <c r="B45" s="88" t="s">
        <v>580</v>
      </c>
      <c r="C45" s="356">
        <f>'Instrumen UKM Esensial &amp; Perkes'!K120</f>
        <v>100</v>
      </c>
      <c r="D45" s="24"/>
    </row>
    <row r="46" spans="1:4" ht="18.649999999999999" customHeight="1" x14ac:dyDescent="0.35">
      <c r="A46" s="88" t="s">
        <v>582</v>
      </c>
      <c r="B46" s="88" t="s">
        <v>581</v>
      </c>
      <c r="C46" s="356">
        <f>'Instrumen UKM Esensial &amp; Perkes'!K125</f>
        <v>100</v>
      </c>
      <c r="D46" s="24"/>
    </row>
    <row r="47" spans="1:4" ht="15.5" x14ac:dyDescent="0.35">
      <c r="A47" s="88" t="s">
        <v>584</v>
      </c>
      <c r="B47" s="88" t="s">
        <v>583</v>
      </c>
      <c r="C47" s="356">
        <f>'Instrumen UKM Esensial &amp; Perkes'!K128</f>
        <v>100</v>
      </c>
      <c r="D47" s="24"/>
    </row>
    <row r="48" spans="1:4" ht="15.5" x14ac:dyDescent="0.35">
      <c r="A48" s="88" t="s">
        <v>586</v>
      </c>
      <c r="B48" s="88" t="s">
        <v>585</v>
      </c>
      <c r="C48" s="356">
        <f>'Instrumen UKM Esensial &amp; Perkes'!K131</f>
        <v>0</v>
      </c>
      <c r="D48" s="24"/>
    </row>
    <row r="49" spans="1:4" ht="15.5" x14ac:dyDescent="0.35">
      <c r="A49" s="88" t="s">
        <v>588</v>
      </c>
      <c r="B49" s="88" t="s">
        <v>587</v>
      </c>
      <c r="C49" s="356">
        <f>'Instrumen UKM Esensial &amp; Perkes'!K136</f>
        <v>0</v>
      </c>
      <c r="D49" s="24"/>
    </row>
    <row r="50" spans="1:4" ht="15.5" x14ac:dyDescent="0.35">
      <c r="A50" s="88" t="s">
        <v>590</v>
      </c>
      <c r="B50" s="88" t="s">
        <v>589</v>
      </c>
      <c r="C50" s="356">
        <f>'Instrumen UKM Esensial &amp; Perkes'!K139</f>
        <v>87.717640320733096</v>
      </c>
      <c r="D50" s="24"/>
    </row>
    <row r="51" spans="1:4" ht="15.5" x14ac:dyDescent="0.35">
      <c r="A51" s="88" t="s">
        <v>592</v>
      </c>
      <c r="B51" s="88" t="s">
        <v>591</v>
      </c>
      <c r="C51" s="356">
        <f>'Instrumen UKM Esensial &amp; Perkes'!K149</f>
        <v>100</v>
      </c>
      <c r="D51" s="24"/>
    </row>
    <row r="52" spans="1:4" ht="15.5" x14ac:dyDescent="0.35">
      <c r="A52" s="88" t="s">
        <v>664</v>
      </c>
      <c r="B52" s="88" t="s">
        <v>593</v>
      </c>
      <c r="C52" s="356">
        <f>'Instrumen UKM Esensial &amp; Perkes'!L156</f>
        <v>85.006590833377743</v>
      </c>
      <c r="D52" s="24"/>
    </row>
    <row r="53" spans="1:4" ht="15.5" x14ac:dyDescent="0.35">
      <c r="A53" s="308" t="s">
        <v>665</v>
      </c>
      <c r="B53" s="308"/>
      <c r="C53" s="359">
        <f>'Instrumen UKM Esensial &amp; Perkes'!K180</f>
        <v>98.941205779770797</v>
      </c>
      <c r="D53" s="309"/>
    </row>
    <row r="54" spans="1:4" ht="16.75" customHeight="1" x14ac:dyDescent="0.35">
      <c r="A54" s="466" t="s">
        <v>527</v>
      </c>
      <c r="B54" s="466"/>
      <c r="C54" s="358">
        <f>'Instrumen UKM Esensial &amp; Perkes'!L185</f>
        <v>100</v>
      </c>
      <c r="D54" s="311" t="str">
        <f>IF(C54&gt;=91,"Baik",IF(C54&gt;=81,"Cukup",IF(C54&lt;=80,"Rendah")))</f>
        <v>Baik</v>
      </c>
    </row>
    <row r="55" spans="1:4" ht="19" customHeight="1" x14ac:dyDescent="0.35">
      <c r="A55" s="465" t="s">
        <v>552</v>
      </c>
      <c r="B55" s="465"/>
      <c r="C55" s="352">
        <f>'Instrumen UKM Pengembangan'!L7</f>
        <v>100</v>
      </c>
      <c r="D55" s="311" t="str">
        <f>IF(C55&gt;=91,"Baik",IF(C55&gt;=81,"Cukup",IF(C55&lt;=80,"Rendah")))</f>
        <v>Baik</v>
      </c>
    </row>
    <row r="56" spans="1:4" ht="15" customHeight="1" x14ac:dyDescent="0.35">
      <c r="A56" s="54" t="s">
        <v>574</v>
      </c>
      <c r="B56" s="54" t="s">
        <v>575</v>
      </c>
      <c r="C56" s="356">
        <f>'Instrumen UKM Pengembangan'!L8</f>
        <v>100</v>
      </c>
      <c r="D56" s="24"/>
    </row>
    <row r="57" spans="1:4" ht="17.5" customHeight="1" x14ac:dyDescent="0.35">
      <c r="A57" s="54" t="s">
        <v>573</v>
      </c>
      <c r="B57" s="54" t="s">
        <v>572</v>
      </c>
      <c r="C57" s="356">
        <f>'Instrumen UKM Pengembangan'!L11</f>
        <v>100</v>
      </c>
      <c r="D57" s="24"/>
    </row>
    <row r="58" spans="1:4" ht="16.75" customHeight="1" x14ac:dyDescent="0.35">
      <c r="A58" s="54" t="s">
        <v>667</v>
      </c>
      <c r="B58" s="54" t="s">
        <v>666</v>
      </c>
      <c r="C58" s="356">
        <f>'Instrumen UKM Pengembangan'!L13</f>
        <v>100</v>
      </c>
      <c r="D58" s="24"/>
    </row>
    <row r="59" spans="1:4" ht="14.5" customHeight="1" x14ac:dyDescent="0.35">
      <c r="A59" s="54" t="s">
        <v>571</v>
      </c>
      <c r="B59" s="54" t="s">
        <v>570</v>
      </c>
      <c r="C59" s="356">
        <f>'Instrumen UKM Pengembangan'!L15</f>
        <v>100</v>
      </c>
      <c r="D59" s="24"/>
    </row>
    <row r="60" spans="1:4" ht="15" customHeight="1" x14ac:dyDescent="0.35">
      <c r="A60" s="54" t="s">
        <v>569</v>
      </c>
      <c r="B60" s="54" t="s">
        <v>568</v>
      </c>
      <c r="C60" s="356">
        <f>'Instrumen UKM Pengembangan'!L21</f>
        <v>100</v>
      </c>
      <c r="D60" s="24"/>
    </row>
    <row r="61" spans="1:4" ht="15" customHeight="1" x14ac:dyDescent="0.35">
      <c r="A61" s="54" t="s">
        <v>567</v>
      </c>
      <c r="B61" s="54" t="s">
        <v>566</v>
      </c>
      <c r="C61" s="356">
        <f>'Instrumen UKM Pengembangan'!L26</f>
        <v>100</v>
      </c>
      <c r="D61" s="24"/>
    </row>
    <row r="62" spans="1:4" ht="15.5" x14ac:dyDescent="0.35">
      <c r="A62" s="198" t="s">
        <v>565</v>
      </c>
      <c r="B62" s="198" t="s">
        <v>668</v>
      </c>
      <c r="C62" s="356">
        <f>'Instrumen UKM Pengembangan'!L30</f>
        <v>100</v>
      </c>
      <c r="D62" s="24"/>
    </row>
    <row r="63" spans="1:4" ht="15.5" x14ac:dyDescent="0.35">
      <c r="A63" s="310" t="s">
        <v>553</v>
      </c>
      <c r="B63" s="310"/>
      <c r="C63" s="352">
        <f>'Instrumen UKP'!K7</f>
        <v>97.350456808445315</v>
      </c>
      <c r="D63" s="311" t="str">
        <f>IF(C63&gt;=91,"Baik",IF(C63&gt;=81,"Cukup",IF(C63&lt;=80,"Rendah")))</f>
        <v>Baik</v>
      </c>
    </row>
    <row r="64" spans="1:4" ht="15" customHeight="1" x14ac:dyDescent="0.35">
      <c r="A64" s="196" t="s">
        <v>563</v>
      </c>
      <c r="B64" s="196" t="s">
        <v>564</v>
      </c>
      <c r="C64" s="356">
        <f>'Instrumen UKP'!K8</f>
        <v>97.362913352867324</v>
      </c>
      <c r="D64" s="24"/>
    </row>
    <row r="65" spans="1:4" ht="15" customHeight="1" x14ac:dyDescent="0.35">
      <c r="A65" s="54" t="s">
        <v>561</v>
      </c>
      <c r="B65" s="196" t="s">
        <v>669</v>
      </c>
      <c r="C65" s="356">
        <f>'Instrumen UKP'!K12</f>
        <v>87.955942867944401</v>
      </c>
      <c r="D65" s="24"/>
    </row>
    <row r="66" spans="1:4" ht="15" customHeight="1" x14ac:dyDescent="0.35">
      <c r="A66" s="44" t="s">
        <v>559</v>
      </c>
      <c r="B66" s="196" t="s">
        <v>670</v>
      </c>
      <c r="C66" s="356">
        <f>'Instrumen UKP'!K15</f>
        <v>90.835255055196114</v>
      </c>
      <c r="D66" s="24"/>
    </row>
    <row r="67" spans="1:4" ht="15" customHeight="1" x14ac:dyDescent="0.35">
      <c r="A67" s="44" t="s">
        <v>558</v>
      </c>
      <c r="B67" s="196" t="s">
        <v>671</v>
      </c>
      <c r="C67" s="356">
        <f>'Instrumen UKP'!K18</f>
        <v>100</v>
      </c>
      <c r="D67" s="24"/>
    </row>
    <row r="68" spans="1:4" ht="15" customHeight="1" x14ac:dyDescent="0.35">
      <c r="A68" s="44" t="s">
        <v>845</v>
      </c>
      <c r="B68" s="196" t="s">
        <v>844</v>
      </c>
      <c r="C68" s="356">
        <f>'Instrumen UKP'!K21</f>
        <v>100</v>
      </c>
      <c r="D68" s="24"/>
    </row>
    <row r="69" spans="1:4" ht="15" customHeight="1" x14ac:dyDescent="0.35">
      <c r="A69" s="54" t="s">
        <v>672</v>
      </c>
      <c r="B69" s="54" t="s">
        <v>562</v>
      </c>
      <c r="C69" s="356">
        <f>'Instrumen UKP'!K23</f>
        <v>100</v>
      </c>
      <c r="D69" s="24"/>
    </row>
    <row r="70" spans="1:4" ht="15.5" x14ac:dyDescent="0.35">
      <c r="A70" s="44" t="s">
        <v>673</v>
      </c>
      <c r="B70" s="88" t="s">
        <v>560</v>
      </c>
      <c r="C70" s="356">
        <f>'Instrumen UKP'!K25</f>
        <v>100</v>
      </c>
      <c r="D70" s="24"/>
    </row>
    <row r="71" spans="1:4" ht="15" customHeight="1" x14ac:dyDescent="0.35">
      <c r="A71" s="199" t="s">
        <v>675</v>
      </c>
      <c r="B71" s="199" t="s">
        <v>674</v>
      </c>
      <c r="C71" s="356">
        <f>'Instrumen UKP'!K36</f>
        <v>100</v>
      </c>
      <c r="D71" s="24"/>
    </row>
    <row r="72" spans="1:4" ht="15" customHeight="1" x14ac:dyDescent="0.35">
      <c r="A72" s="54" t="s">
        <v>846</v>
      </c>
      <c r="B72" s="54" t="s">
        <v>557</v>
      </c>
      <c r="C72" s="356">
        <f>'Instrumen UKP'!K40</f>
        <v>100</v>
      </c>
      <c r="D72" s="24"/>
    </row>
    <row r="73" spans="1:4" ht="15.65" customHeight="1" x14ac:dyDescent="0.35">
      <c r="A73" s="463" t="s">
        <v>676</v>
      </c>
      <c r="B73" s="463"/>
      <c r="C73" s="352">
        <f>'Instrumen Mutu'!K7</f>
        <v>99.416666666666657</v>
      </c>
      <c r="D73" s="311" t="str">
        <f>IF(C73&gt;=91,"Baik",IF(C73&gt;=81,"Cukup",IF(C73&lt;=80,"Rendah")))</f>
        <v>Baik</v>
      </c>
    </row>
    <row r="74" spans="1:4" s="189" customFormat="1" ht="17.5" customHeight="1" x14ac:dyDescent="0.35">
      <c r="A74" s="214" t="s">
        <v>677</v>
      </c>
      <c r="B74" s="133" t="s">
        <v>678</v>
      </c>
      <c r="C74" s="360">
        <f>'Instrumen Mutu'!K8</f>
        <v>98.833333333333329</v>
      </c>
      <c r="D74" s="188"/>
    </row>
    <row r="75" spans="1:4" s="189" customFormat="1" ht="18.649999999999999" customHeight="1" x14ac:dyDescent="0.35">
      <c r="A75" s="214" t="s">
        <v>679</v>
      </c>
      <c r="B75" s="133" t="s">
        <v>680</v>
      </c>
      <c r="C75" s="360">
        <f>'Instrumen Mutu'!K15</f>
        <v>100</v>
      </c>
      <c r="D75" s="188"/>
    </row>
    <row r="76" spans="1:4" s="189" customFormat="1" ht="18" customHeight="1" x14ac:dyDescent="0.35">
      <c r="A76" s="214" t="s">
        <v>681</v>
      </c>
      <c r="B76" s="133" t="s">
        <v>682</v>
      </c>
      <c r="C76" s="360" t="e">
        <f>'Instrumen Mutu'!K20</f>
        <v>#DIV/0!</v>
      </c>
      <c r="D76" s="188"/>
    </row>
  </sheetData>
  <mergeCells count="12">
    <mergeCell ref="A2:D2"/>
    <mergeCell ref="A73:B73"/>
    <mergeCell ref="C4:C5"/>
    <mergeCell ref="A55:B55"/>
    <mergeCell ref="A54:B54"/>
    <mergeCell ref="A40:B40"/>
    <mergeCell ref="D4:D5"/>
    <mergeCell ref="A6:B6"/>
    <mergeCell ref="A7:B7"/>
    <mergeCell ref="A14:B14"/>
    <mergeCell ref="A4:A5"/>
    <mergeCell ref="B4:B5"/>
  </mergeCells>
  <conditionalFormatting sqref="D7">
    <cfRule type="containsText" dxfId="28" priority="34" operator="containsText" text="Rendah">
      <formula>NOT(ISERROR(SEARCH("Rendah",D7)))</formula>
    </cfRule>
    <cfRule type="containsText" dxfId="27" priority="35" operator="containsText" text="Cukup">
      <formula>NOT(ISERROR(SEARCH("Cukup",D7)))</formula>
    </cfRule>
  </conditionalFormatting>
  <conditionalFormatting sqref="D7:D8">
    <cfRule type="containsText" dxfId="26" priority="36" operator="containsText" text="Baik">
      <formula>NOT(ISERROR(SEARCH("Baik",D7)))</formula>
    </cfRule>
  </conditionalFormatting>
  <conditionalFormatting sqref="D8">
    <cfRule type="containsText" dxfId="25" priority="38" operator="containsText" text="Cukup">
      <formula>NOT(ISERROR(SEARCH("Cukup",D8)))</formula>
    </cfRule>
    <cfRule type="containsText" dxfId="24" priority="39" operator="containsText" text="Rendah">
      <formula>NOT(ISERROR(SEARCH("Rendah",D8)))</formula>
    </cfRule>
  </conditionalFormatting>
  <conditionalFormatting sqref="D14:D16">
    <cfRule type="containsText" dxfId="23" priority="25" operator="containsText" text="Baik">
      <formula>NOT(ISERROR(SEARCH("Baik",D14)))</formula>
    </cfRule>
    <cfRule type="containsText" dxfId="22" priority="26" operator="containsText" text="Cukup">
      <formula>NOT(ISERROR(SEARCH("Cukup",D14)))</formula>
    </cfRule>
    <cfRule type="containsText" dxfId="21" priority="27" operator="containsText" text="Rendah">
      <formula>NOT(ISERROR(SEARCH("Rendah",D14)))</formula>
    </cfRule>
  </conditionalFormatting>
  <conditionalFormatting sqref="D23">
    <cfRule type="containsText" dxfId="20" priority="22" operator="containsText" text="Baik">
      <formula>NOT(ISERROR(SEARCH("Baik",D23)))</formula>
    </cfRule>
    <cfRule type="containsText" dxfId="19" priority="23" operator="containsText" text="Cukup">
      <formula>NOT(ISERROR(SEARCH("Cukup",D23)))</formula>
    </cfRule>
    <cfRule type="containsText" dxfId="18" priority="24" operator="containsText" text="Rendah">
      <formula>NOT(ISERROR(SEARCH("Rendah",D23)))</formula>
    </cfRule>
  </conditionalFormatting>
  <conditionalFormatting sqref="D29">
    <cfRule type="containsText" dxfId="17" priority="19" operator="containsText" text="Baik">
      <formula>NOT(ISERROR(SEARCH("Baik",D29)))</formula>
    </cfRule>
    <cfRule type="containsText" dxfId="16" priority="20" operator="containsText" text="Cukup">
      <formula>NOT(ISERROR(SEARCH("Cukup",D29)))</formula>
    </cfRule>
    <cfRule type="containsText" dxfId="15" priority="21" operator="containsText" text="Rendah">
      <formula>NOT(ISERROR(SEARCH("Rendah",D29)))</formula>
    </cfRule>
  </conditionalFormatting>
  <conditionalFormatting sqref="D36">
    <cfRule type="containsText" dxfId="14" priority="16" operator="containsText" text="Baik">
      <formula>NOT(ISERROR(SEARCH("Baik",D36)))</formula>
    </cfRule>
    <cfRule type="containsText" dxfId="13" priority="17" operator="containsText" text="Cukup">
      <formula>NOT(ISERROR(SEARCH("Cukup",D36)))</formula>
    </cfRule>
    <cfRule type="containsText" dxfId="12" priority="18" operator="containsText" text="Rendah">
      <formula>NOT(ISERROR(SEARCH("Rendah",D36)))</formula>
    </cfRule>
  </conditionalFormatting>
  <conditionalFormatting sqref="D40">
    <cfRule type="containsText" dxfId="11" priority="13" operator="containsText" text="Baik">
      <formula>NOT(ISERROR(SEARCH("Baik",D40)))</formula>
    </cfRule>
    <cfRule type="containsText" dxfId="10" priority="14" operator="containsText" text="Cukup">
      <formula>NOT(ISERROR(SEARCH("Cukup",D40)))</formula>
    </cfRule>
    <cfRule type="containsText" dxfId="9" priority="15" operator="containsText" text="Rendah">
      <formula>NOT(ISERROR(SEARCH("Rendah",D40)))</formula>
    </cfRule>
  </conditionalFormatting>
  <conditionalFormatting sqref="D54:D55">
    <cfRule type="containsText" dxfId="8" priority="7" operator="containsText" text="Baik">
      <formula>NOT(ISERROR(SEARCH("Baik",D54)))</formula>
    </cfRule>
    <cfRule type="containsText" dxfId="7" priority="8" operator="containsText" text="Cukup">
      <formula>NOT(ISERROR(SEARCH("Cukup",D54)))</formula>
    </cfRule>
    <cfRule type="containsText" dxfId="6" priority="9" operator="containsText" text="Rendah">
      <formula>NOT(ISERROR(SEARCH("Rendah",D54)))</formula>
    </cfRule>
  </conditionalFormatting>
  <conditionalFormatting sqref="D63">
    <cfRule type="containsText" dxfId="5" priority="4" operator="containsText" text="Baik">
      <formula>NOT(ISERROR(SEARCH("Baik",D63)))</formula>
    </cfRule>
    <cfRule type="containsText" dxfId="4" priority="5" operator="containsText" text="Cukup">
      <formula>NOT(ISERROR(SEARCH("Cukup",D63)))</formula>
    </cfRule>
    <cfRule type="containsText" dxfId="3" priority="6" operator="containsText" text="Rendah">
      <formula>NOT(ISERROR(SEARCH("Rendah",D63)))</formula>
    </cfRule>
  </conditionalFormatting>
  <conditionalFormatting sqref="D73">
    <cfRule type="containsText" dxfId="2" priority="1" operator="containsText" text="Baik">
      <formula>NOT(ISERROR(SEARCH("Baik",D73)))</formula>
    </cfRule>
    <cfRule type="containsText" dxfId="1" priority="2" operator="containsText" text="Cukup">
      <formula>NOT(ISERROR(SEARCH("Cukup",D73)))</formula>
    </cfRule>
    <cfRule type="containsText" dxfId="0" priority="3" operator="containsText" text="Rendah">
      <formula>NOT(ISERROR(SEARCH("Rendah",D73)))</formula>
    </cfRule>
  </conditionalFormatting>
  <pageMargins left="0.7" right="0.7" top="0.75" bottom="0.75" header="0.3" footer="0.3"/>
  <pageSetup paperSize="14" scale="5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Instrumen Admen 24</vt:lpstr>
      <vt:lpstr>Instrumen UKM Esensial &amp; Perkes</vt:lpstr>
      <vt:lpstr>Instrumen UKM Pengembangan</vt:lpstr>
      <vt:lpstr>Instrumen UKP</vt:lpstr>
      <vt:lpstr>Instrumen Mutu</vt:lpstr>
      <vt:lpstr>REKAP</vt:lpstr>
      <vt:lpstr>'Instrumen Admen 24'!Print_Area</vt:lpstr>
      <vt:lpstr>'Instrumen UKM Esensial &amp; Perkes'!Print_Area</vt:lpstr>
      <vt:lpstr>'Instrumen UKP'!Print_Area</vt:lpstr>
    </vt:vector>
  </TitlesOfParts>
  <Company>by adguard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puskesmas plaosan</cp:lastModifiedBy>
  <cp:lastPrinted>2025-01-10T02:13:04Z</cp:lastPrinted>
  <dcterms:created xsi:type="dcterms:W3CDTF">2022-03-21T11:00:40Z</dcterms:created>
  <dcterms:modified xsi:type="dcterms:W3CDTF">2025-01-10T03:01:12Z</dcterms:modified>
</cp:coreProperties>
</file>